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'Arkusz1'!$A$1:$I$409</definedName>
    <definedName name="_xlnm.Print_Titles" localSheetId="0">'Arkusz1'!$4:$4</definedName>
  </definedNames>
  <calcPr calcMode="manual" fullCalcOnLoad="1"/>
</workbook>
</file>

<file path=xl/sharedStrings.xml><?xml version="1.0" encoding="utf-8"?>
<sst xmlns="http://schemas.openxmlformats.org/spreadsheetml/2006/main" count="902" uniqueCount="613">
  <si>
    <t>Lp.</t>
  </si>
  <si>
    <t xml:space="preserve">Dział </t>
  </si>
  <si>
    <t xml:space="preserve">Rozdział </t>
  </si>
  <si>
    <t xml:space="preserve">Numer zadania </t>
  </si>
  <si>
    <t xml:space="preserve">Nazwa zadania </t>
  </si>
  <si>
    <t xml:space="preserve">Plan </t>
  </si>
  <si>
    <t>WPF/ R</t>
  </si>
  <si>
    <t xml:space="preserve">Dział 400 - WYTWARZANIE I ZAOPATRYWANIE W ENERGIĘ ELEKTRYCZNĄ, GAZ I WODĘ                                               </t>
  </si>
  <si>
    <t xml:space="preserve">Rozdział 40002 - Dostarczanie wody                                                                                                                                                                    </t>
  </si>
  <si>
    <t>10/WNW/I/G</t>
  </si>
  <si>
    <t xml:space="preserve">Wodociągi Płockie Spółka z o.o.  </t>
  </si>
  <si>
    <t>R</t>
  </si>
  <si>
    <t xml:space="preserve">DZIAŁ 600 – TRANSPORT I ŁĄCZNOŚĆ   </t>
  </si>
  <si>
    <t xml:space="preserve">Rozdział 60004 – Lokalny transport zbiorowy </t>
  </si>
  <si>
    <t>83/WIRI/I/G</t>
  </si>
  <si>
    <t xml:space="preserve">Realizacja projektu „Poprawa funkcjonowania systemu transportu publicznego w Płocku” </t>
  </si>
  <si>
    <t>WPF</t>
  </si>
  <si>
    <t xml:space="preserve">Rozdział 60015 – Drogi publiczne w miastach na prawach powiatu </t>
  </si>
  <si>
    <t>02/WIRI/I/P</t>
  </si>
  <si>
    <t xml:space="preserve">Budowa bezkolizyjnego (dwupoziomowego) skrzyżowania alei Piłsudskiego z linią kolejową </t>
  </si>
  <si>
    <t>03/WIRI/I/P</t>
  </si>
  <si>
    <t xml:space="preserve">Parking przy ulicy Otolińskiej – budżet obywatelski </t>
  </si>
  <si>
    <t>01/BIS/I/P</t>
  </si>
  <si>
    <t xml:space="preserve">Rozbudowa ulicy Przemysłowej i przebudowa ulicy Kostrogaj wraz z niezbędną infrastrukturą w celu udostępnienia terenów inwestycyjnych na Osiedlach: Łukasiewicza i Trzepowo </t>
  </si>
  <si>
    <t>13/MZD/I/P</t>
  </si>
  <si>
    <t>18/MZD/I/P</t>
  </si>
  <si>
    <t>19/MZD/I/P</t>
  </si>
  <si>
    <t>24/MZD/I/P</t>
  </si>
  <si>
    <t>25/MZD/I/P</t>
  </si>
  <si>
    <t>27/MZD/I/P</t>
  </si>
  <si>
    <t>Rozdział 60016 - Drogi publiczne gminne</t>
  </si>
  <si>
    <t>04/WIRI/I/G</t>
  </si>
  <si>
    <t>05/WIRI/I/G</t>
  </si>
  <si>
    <t xml:space="preserve">Budowa ulicy Strażackiej wraz z brakującą infrastrukturą </t>
  </si>
  <si>
    <t>06/WIRI/I/G</t>
  </si>
  <si>
    <t>08/WIRI/I/G</t>
  </si>
  <si>
    <t xml:space="preserve">Budowa ulic: Cedrowej, Lipowej, Grabowej, Cisowej, Wiązowej, Jesionowej, Botanicznej, Wierzbowej, Wilczej, Borowickiej wraz z brakującą infrastrukturą </t>
  </si>
  <si>
    <t>20/WIRI/I/G</t>
  </si>
  <si>
    <t xml:space="preserve">Budowa łącznika Czwartaków – Graniczna – Centrum do ulicy Wyszogrodzkiej (poprzez ulicę Graniczną) oraz ulicy Wodnej (od skrzyżowania z ulicą Graniczną do skrzyżowania z ulicą Górną) </t>
  </si>
  <si>
    <t>30/WIRI/A/I/G</t>
  </si>
  <si>
    <t xml:space="preserve">Połączenie komunikacyjne Osiedli Imielnica – Podolszyce Południe – prace przygotowawcze </t>
  </si>
  <si>
    <t>35/WIRI/I/G</t>
  </si>
  <si>
    <t xml:space="preserve">Budowa ulicy Ośnickiej </t>
  </si>
  <si>
    <t>Modernizacja ciągów komunikacyjnych niezbędnych dla rozwoju systemu zrównoważonej mobilności miejskiej</t>
  </si>
  <si>
    <t>48/WIRI/I/G</t>
  </si>
  <si>
    <t>03/WKŚII/I/G</t>
  </si>
  <si>
    <t xml:space="preserve">Przebudowa chodników i parkingów zlokalizowanych na terenach gminnych (poza pasami drogowymi ulic) </t>
  </si>
  <si>
    <t>08/MZD/I/G</t>
  </si>
  <si>
    <t>12/MZD/I/G</t>
  </si>
  <si>
    <t>18/MZD/I/G</t>
  </si>
  <si>
    <t>19/MZD/I/G</t>
  </si>
  <si>
    <t>23/MZD/I/G</t>
  </si>
  <si>
    <t>Budowa sygnalizacji świetlnych na terenie miasta Płocka</t>
  </si>
  <si>
    <t>24/MZD/I/G</t>
  </si>
  <si>
    <t>26/MZD/I/G</t>
  </si>
  <si>
    <t>30/MZD/I/G</t>
  </si>
  <si>
    <t>37/MZD/I/G</t>
  </si>
  <si>
    <t>Dział 700 - GOSPODARKA MIESZKANIOWA</t>
  </si>
  <si>
    <t>Rozdział 70005 - Gospodarka gruntami i nieruchomościami</t>
  </si>
  <si>
    <t>01/BON/I/G</t>
  </si>
  <si>
    <t xml:space="preserve">Wykupy do zasobu gminy </t>
  </si>
  <si>
    <t>01/WGDII/I/G</t>
  </si>
  <si>
    <t xml:space="preserve">Pozyskiwanie gruntów i nieruchomości </t>
  </si>
  <si>
    <t xml:space="preserve">Rozdział 70021 – Towarzystwa budownictwa społecznego </t>
  </si>
  <si>
    <t>01/WNW/I/G</t>
  </si>
  <si>
    <t>Miejskie Towarzystwo Budownictwa Społecznego Spółka z o.o. - nadbudowa i przebudowa budynku mieszkalnego wielorodzinnego przy ulicy Padlewskiego 6</t>
  </si>
  <si>
    <t xml:space="preserve">Rozdział 70095 – Pozostała działalność  </t>
  </si>
  <si>
    <t>02/WKŚII/I/G</t>
  </si>
  <si>
    <t xml:space="preserve">Infrastruktura techniczna dla budownictwa </t>
  </si>
  <si>
    <t>29/WIRIII/I/G</t>
  </si>
  <si>
    <t xml:space="preserve">Rewitalizacja budynków komunalnych na Osiedlu Miodowa - Jar - etap III </t>
  </si>
  <si>
    <t xml:space="preserve">DZIAŁ 710 – DZIAŁALNOŚĆ USŁUGOWA  </t>
  </si>
  <si>
    <t xml:space="preserve">Rozdział 71035 – Cmentarze </t>
  </si>
  <si>
    <t>14/WIRI/I/G</t>
  </si>
  <si>
    <t xml:space="preserve">Cmentarz komunalny – rozbudowa cmentarza w zakresie budowy nowych kwater, alejek, oświetlenia, wodociągu </t>
  </si>
  <si>
    <t>Rozdział 71095 – Pozostała działalność</t>
  </si>
  <si>
    <t xml:space="preserve">Modernizacja energetyczna obiektów użyteczności publicznej w Płocku </t>
  </si>
  <si>
    <t xml:space="preserve">DZIAŁ 750 – ADMINISTRACJA PUBLICZNA </t>
  </si>
  <si>
    <t>Rozdział 75023 – Urzędy miast na prawach powiatu</t>
  </si>
  <si>
    <t>02/WIRIII/I/G</t>
  </si>
  <si>
    <t xml:space="preserve">Modernizacja dziedzińca Urzędu Miasta Płocka wraz z infrastrukturą podziemną </t>
  </si>
  <si>
    <t>06/WIRIII/I/G</t>
  </si>
  <si>
    <t>05/WIRIII/I/G</t>
  </si>
  <si>
    <t xml:space="preserve">Modernizacja budynku Urzędu Stanu Cywilnego – prace przygotowawcze </t>
  </si>
  <si>
    <t xml:space="preserve">DZIAŁ 754 – BEZPIECZEŃSTWO PUBLICZNE I OCHRONA PRZECIWPOŻAROWA </t>
  </si>
  <si>
    <t xml:space="preserve">Rozdział 75410 – Komendy wojewódzkie Państwowej Straży Pożarnej </t>
  </si>
  <si>
    <t>01/WZK/I/P</t>
  </si>
  <si>
    <t xml:space="preserve">Budowa Jednostki Ratowniczo – Gaśniczej Nr 2 Państwowej  Straży Pożarnej w Płocku  przy ul. Popłacińskiej 8 – Fundusz Wsparcia Państwowej Straży Pożarnej </t>
  </si>
  <si>
    <t xml:space="preserve">Rozdział 75411 – Komendy powiatowe Państwowej Straży Pożarnej </t>
  </si>
  <si>
    <t>02/KMPSP/I/P</t>
  </si>
  <si>
    <t>Rozdział 75414 – Obrona cywilna</t>
  </si>
  <si>
    <t>01/WZK/I/G</t>
  </si>
  <si>
    <t xml:space="preserve">Rozbudowa systemu ostrzegania i alarmowania ludności o zagrożeniach miasta Płocka </t>
  </si>
  <si>
    <t xml:space="preserve">DZIAŁ 801 – OŚWIATA I WYCHOWANIE  </t>
  </si>
  <si>
    <t xml:space="preserve">Rozdział 80101 – Szkoły podstawowe </t>
  </si>
  <si>
    <t>09/WIRI/I/G</t>
  </si>
  <si>
    <t xml:space="preserve">Przebudowa boisk przy Szkole Podstawowej Nr 12 </t>
  </si>
  <si>
    <t>11/WIRI/I/G</t>
  </si>
  <si>
    <t xml:space="preserve">Rozdział 80104 – Przedszkola  </t>
  </si>
  <si>
    <t>07/WIRIII/I/G</t>
  </si>
  <si>
    <t xml:space="preserve">Przebudowa Miejskiego Przedszkola Nr 15  </t>
  </si>
  <si>
    <t>03/WIRIII/I/G</t>
  </si>
  <si>
    <t xml:space="preserve">Przebudowa budynku Miejskiego Przedszkola Nr 3 z Oddziałami Integracyjnymi </t>
  </si>
  <si>
    <t xml:space="preserve">Rozdział 80110 – Gimnazja  </t>
  </si>
  <si>
    <t>49/WIRI/I/G</t>
  </si>
  <si>
    <t>Rozdział 80130 - Szkoły zawodowe</t>
  </si>
  <si>
    <t>03/TMZST/I/P</t>
  </si>
  <si>
    <t>Realizacja projektu pn. „Staż za granicą paszportem do mojej przyszłości”</t>
  </si>
  <si>
    <t>Rozdział 80195 - Pozostała działalność</t>
  </si>
  <si>
    <t>38/WIRI/I/G</t>
  </si>
  <si>
    <t xml:space="preserve">DZIAŁ 851 – OCHRONA ZDROWIA </t>
  </si>
  <si>
    <t>Rozdział 85195 – Pozostała działalność</t>
  </si>
  <si>
    <t>17/WIRI/I/G</t>
  </si>
  <si>
    <t>Budowa Płockiego Centrum Terapeutyczno – Rehabilitacyjnego – budżet obywatelski</t>
  </si>
  <si>
    <t>55/WIRI/I/G</t>
  </si>
  <si>
    <t>Budowa tężni solankowej na Osiedlu Winiary - budżet obywatelski</t>
  </si>
  <si>
    <t>02/WNW/I/G</t>
  </si>
  <si>
    <t xml:space="preserve">Płocki Zakład Opieki Zdrowotnej Spółka z o.o.  </t>
  </si>
  <si>
    <t>DZIAŁ 854 – EDUKACYJNA OPIEKA WYCHOWAWCZA</t>
  </si>
  <si>
    <t>Rozdział 85407 – Placówki wychowania pozaszkolnego</t>
  </si>
  <si>
    <t>05/PWHZPiT/I/P</t>
  </si>
  <si>
    <t>Harcerski Zespół Pieśni i Tańca "Dzieci Płocka" - zakup samochodu osobowo - dostawczego - budżet obywatelski</t>
  </si>
  <si>
    <t>Rozdział 85410 – Internaty i bursy szkolne</t>
  </si>
  <si>
    <t>01/WIRIII/I/P</t>
  </si>
  <si>
    <t xml:space="preserve">DZIAŁ 900 – GOSPODARKA KOMUNALNA I OCHRONA ŚRODOWISKA  </t>
  </si>
  <si>
    <t>Rozdział 90001 – Gospodarka ściekowa i ochrona wód</t>
  </si>
  <si>
    <t>30/WIRI/I/G</t>
  </si>
  <si>
    <t xml:space="preserve">Budowa zbiorników retencyjnych i brakującej infrastruktury deszczowej na Osiedlu Radziwie </t>
  </si>
  <si>
    <t>Rozdział 90005 – Ochrona powietrza atmosferycznego i klimatu</t>
  </si>
  <si>
    <t>01/WKŚI/I/G</t>
  </si>
  <si>
    <t xml:space="preserve">Realizacja zadań z zakresu ochrony powietrza polegających na likwidacji niskiej emisji </t>
  </si>
  <si>
    <t xml:space="preserve">Rozdział 90015 – Oświetlenie ulic, placów i dróg </t>
  </si>
  <si>
    <t>11/MZD/I/G</t>
  </si>
  <si>
    <t xml:space="preserve">Rozdział 90078 – Usuwanie skutków klęsk żywiołowych  </t>
  </si>
  <si>
    <t>12/WIRI/I/G</t>
  </si>
  <si>
    <t>Wzmocnienie Skarpy Wiślanej poprzez przebudowę schodów w sąsiedztwie przyczółka mostu im. Legionów Piłsudskiego i ulicy Mostowej</t>
  </si>
  <si>
    <t xml:space="preserve">Rozdział 90095 – Pozostała działalność  </t>
  </si>
  <si>
    <t>22/WIRI/I/G</t>
  </si>
  <si>
    <t xml:space="preserve">Budowa skweru rekreacyjno - wypoczynkowego na „Winiarach” - budżet obywatelski  </t>
  </si>
  <si>
    <t>23/WIRI/I/G</t>
  </si>
  <si>
    <t xml:space="preserve">Rozbudowa placu składowego, budowa linii oświetleniowej, naprawa systemu monitoringu wraz z zakupem kamer oraz wykonanie odwodnienia części terenu Parku Północnego </t>
  </si>
  <si>
    <t>51/WIRI/I/G</t>
  </si>
  <si>
    <t>02/BIS/I/G</t>
  </si>
  <si>
    <t>DZIAŁ 921 – KULTURA I OCHRONA DZIEDZICTWA NARODOWEGO</t>
  </si>
  <si>
    <t xml:space="preserve">Rozdział 92116 – Biblioteki  </t>
  </si>
  <si>
    <t>03/WIRIII/I/P</t>
  </si>
  <si>
    <t>Modernizacja placówek bibliotecznych</t>
  </si>
  <si>
    <t xml:space="preserve">Rozdział 92504 – Ogrody botaniczne i zoologiczne </t>
  </si>
  <si>
    <t>19/WIRI/I/G</t>
  </si>
  <si>
    <t xml:space="preserve">Budowa akwarium w Miejskim Ogrodzie Zoologicznym </t>
  </si>
  <si>
    <t>04/MOZOO/I/G</t>
  </si>
  <si>
    <t xml:space="preserve">DZIAŁ 926 – KULTURA FIZYCZNA </t>
  </si>
  <si>
    <t xml:space="preserve">Rozdział 92601 – Obiekty sportowe </t>
  </si>
  <si>
    <t>07/WIRI/I/G</t>
  </si>
  <si>
    <t xml:space="preserve">Modernizacja stadionu im. Kazimierza Górskiego przy ulicy Łukasiewicza </t>
  </si>
  <si>
    <t>32/WIRI/I/G</t>
  </si>
  <si>
    <t>Przebudowa Ośrodka Sportowego „Stoczniowiec"</t>
  </si>
  <si>
    <t>33/WIRI/I/G</t>
  </si>
  <si>
    <t xml:space="preserve">Centrum Sportów Ekstremalnych – budowa  pumptracku czyli toru do jazdy na rolkach, rowerze i deskorolkach - budżet obywatelski </t>
  </si>
  <si>
    <t>27/WIRI/I/G</t>
  </si>
  <si>
    <t>04/WNW/I/G</t>
  </si>
  <si>
    <t>Miejski Ośrodek Sportu i Rekreacji Płock Sp. z o.o.</t>
  </si>
  <si>
    <t xml:space="preserve">Rozdział 92695 – Pozostała działalność </t>
  </si>
  <si>
    <t>08/WNW/I/G</t>
  </si>
  <si>
    <t xml:space="preserve">Wisła Płock Spółka Akcyjna </t>
  </si>
  <si>
    <t>09/WNW/I/G</t>
  </si>
  <si>
    <t xml:space="preserve">Sekcja Piłki Ręcznej - Wisła Płock Spółka Akcyjna </t>
  </si>
  <si>
    <t>28/WIRI/I/G</t>
  </si>
  <si>
    <t xml:space="preserve">Siłownia pod chmurką na Osiedlu Dobrzyńska – budżet obywatelski </t>
  </si>
  <si>
    <t>29/WIRI/I/G</t>
  </si>
  <si>
    <t xml:space="preserve">Siłownia zewnętrzna na Osiedlu Imielnica – budżet obywatelski </t>
  </si>
  <si>
    <t>40/WIRI/I/G</t>
  </si>
  <si>
    <t xml:space="preserve">Tereny zielone i parki rekreacyjne </t>
  </si>
  <si>
    <t>52/WIRI/I/G</t>
  </si>
  <si>
    <t>Budowa wodnego placu zabaw - budżet obywatelski</t>
  </si>
  <si>
    <t>53/WIRI/I/G</t>
  </si>
  <si>
    <t>Rozbudowa placu zabaw i rekreacji na Osiedlu Wyszogrodzka - budżet obywatelski</t>
  </si>
  <si>
    <t>Ogółem wydatki majątkowe:</t>
  </si>
  <si>
    <t>wydatki majątkowe na zadania gminy</t>
  </si>
  <si>
    <t>wydatki majątkowe na zadania powiatu</t>
  </si>
  <si>
    <t>14/MZD/I/P</t>
  </si>
  <si>
    <t>22/MZD/I/P</t>
  </si>
  <si>
    <t>28/MZD/I/P</t>
  </si>
  <si>
    <t>43/WIRI/I/G</t>
  </si>
  <si>
    <t xml:space="preserve">Budowa ulicy Zalewskiego wraz z brakującą infrastrukturą </t>
  </si>
  <si>
    <t>Rozdział 60017 - Drogi wewnętrzne</t>
  </si>
  <si>
    <t>02/WIRI/I/G</t>
  </si>
  <si>
    <t xml:space="preserve">Budowa drogi wewnętrznej na terenie Szkoły Podstawowej Nr 20 – prace przygotowawcze </t>
  </si>
  <si>
    <t>10/WIRI/I/G</t>
  </si>
  <si>
    <t xml:space="preserve">Budynek socjalny z toaletą publiczną na Osiedlu Podolszyce Północ - budżet obywatelski </t>
  </si>
  <si>
    <t>01/BZN/I/G</t>
  </si>
  <si>
    <t xml:space="preserve">Przebudowa budynków komunalnych </t>
  </si>
  <si>
    <t>24/WIRI/I/G</t>
  </si>
  <si>
    <t>Zagospodarowanie skweru na Cmentarzu Komunalnym</t>
  </si>
  <si>
    <t>DZIAŁ 720 – INFORMATYKA</t>
  </si>
  <si>
    <t>Rozdział 72095 - Pozostała działalność</t>
  </si>
  <si>
    <t>01/WOPIII/I/G</t>
  </si>
  <si>
    <t xml:space="preserve">Zakup sprzętu komputerowego wraz z oprogramowaniem </t>
  </si>
  <si>
    <t>01/PF/I/G</t>
  </si>
  <si>
    <t xml:space="preserve">Realizacja projektu pn. „Sprawność – kompetencja – satysfakcja – wysoka jakość obsługi klienta z pięciu JST z regionu płockiego i gostynińskiego" </t>
  </si>
  <si>
    <t>DZIAŁ 853 – POZOSTAŁE ZADANIA W ZAKRESIE POLITYKI SPOŁECZNEJ</t>
  </si>
  <si>
    <t>Rozdział 85324 – Państwowy Fundusz Rehabilitacji Osób Niepełnosprawnych</t>
  </si>
  <si>
    <t>01/BRN/I/P</t>
  </si>
  <si>
    <t xml:space="preserve">Zakup busa do przewozu osób niepełnosprawnych dla Miejskiego Ośrodka Pomocy Społecznej </t>
  </si>
  <si>
    <t>04/WKŚII/I/G</t>
  </si>
  <si>
    <t xml:space="preserve">Przebudowa i modernizacja infrastruktury odprowadzającej wody opadowe i roztopowe wraz z podwyższeniem sprawności zbiornika retencyjnego na Osiedlu Wyszogrodzka  </t>
  </si>
  <si>
    <t>42/WIRI/I/G</t>
  </si>
  <si>
    <t xml:space="preserve">Zagospodarowanie terenu przy alei Armii Krajowej na Osiedlu Zielony Jar </t>
  </si>
  <si>
    <t>07/WNW/I/G</t>
  </si>
  <si>
    <t>Wodociągi Płockie Spółka z o.o. - rozdział kanalizacji ogólnospławnej na deszczową i sanitarną w centrum miasta Płocka</t>
  </si>
  <si>
    <t>11/MZD/I/P</t>
  </si>
  <si>
    <t>Budowa parkingu przy ulicy Piaska  wraz z zagospodarowaniem terenu przyległego</t>
  </si>
  <si>
    <t>58/WIRI/I/G</t>
  </si>
  <si>
    <t>Budowa ulicy Swojskiej wraz z brakującą infrastrukturą</t>
  </si>
  <si>
    <t>59/WIRI/I/G</t>
  </si>
  <si>
    <t>03/BOT/I/G</t>
  </si>
  <si>
    <t>Adaptacja pomieszczeń Urzędu Miasta Płocka na pomieszczenia archiwum zakładowego</t>
  </si>
  <si>
    <t>02/WZK/I/P</t>
  </si>
  <si>
    <t>Budowa boiska wielofunkcyjnego oraz modernizacja dziedzińca i placu zabaw przy Szkole Podstawowej Nr 15</t>
  </si>
  <si>
    <t>Budowa nowej sali gimnastycznej przy Szkole Podstawowej Nr 18</t>
  </si>
  <si>
    <t>Wygłuszenie sali gimnastycznej w Szkole Podstawowej Nr 11</t>
  </si>
  <si>
    <t>05/WKŚII/I/G</t>
  </si>
  <si>
    <t>Modernizacja fontanny „Afrodyta”</t>
  </si>
  <si>
    <t>18/WIRIII/I/G</t>
  </si>
  <si>
    <t>Rozwój oferty kulturalno – edukacyjnej Płocka poprzez adaptację istniejącego obiektu dla potrzeb POKiS</t>
  </si>
  <si>
    <t>04/WIRIII/I/P</t>
  </si>
  <si>
    <t>Adaptacja budynku na potrzeby Płockiej Galerii Sztuki – prace przygotowawcze</t>
  </si>
  <si>
    <t>38/MZD/I/G</t>
  </si>
  <si>
    <t>19/WIRIII/I/G</t>
  </si>
  <si>
    <t>Rozdział 75095 - Pozostała działalność</t>
  </si>
  <si>
    <t>08/WIRIII/I/G</t>
  </si>
  <si>
    <t>Siedziba Miejskiego Przedszkola Nr 17 – prace przygotowawcze</t>
  </si>
  <si>
    <t>09/WIRIII/I/G</t>
  </si>
  <si>
    <t>Przebudowa pomieszczeń zaplecza sanitarno – szatniowego bloku sportowego w Gimnazjum Nr 4</t>
  </si>
  <si>
    <t>05/GM005/I/G</t>
  </si>
  <si>
    <t>Gimnazjum Nr 5 -zakup dygestorium</t>
  </si>
  <si>
    <t>11/WNW/I/G</t>
  </si>
  <si>
    <t>Inwestycje Miejskie Sp. z o.o</t>
  </si>
  <si>
    <t>Termomodernizacja budynku oraz modernizacja pomieszczeń segmentu B, łącznika oraz bloku żywieniowego internatu Zespołu Szkół Technicznych przy ul. Norbertańskiej</t>
  </si>
  <si>
    <t>DZIAŁ 855 – RODZINA</t>
  </si>
  <si>
    <t>Rozdział 85505 – Tworzenie i funkcjonowanie żłobków</t>
  </si>
  <si>
    <t>28/WIRIII/I/G</t>
  </si>
  <si>
    <t>Wymiana ogrodzenia wewnętrznego wokół placów zabaw na terenie Miejskiego Żłobka Nr 3</t>
  </si>
  <si>
    <t>Rozdział 90003 – Oczyszczanie miast i wsi</t>
  </si>
  <si>
    <t>06/WKŚII/I/G</t>
  </si>
  <si>
    <t>Zakup urządzeń komunalnych</t>
  </si>
  <si>
    <t xml:space="preserve">Przebudowa alei A. Roguckiego i zagospodarowanie terenów przyległych do alei </t>
  </si>
  <si>
    <t>02/PF/I/G</t>
  </si>
  <si>
    <t>Przebudowa alei A. Roguckiego i zagospodarowanie terenów przyległych do alei</t>
  </si>
  <si>
    <t>01/WSB/D/I/P</t>
  </si>
  <si>
    <t xml:space="preserve">Dotacje celowe dla powiatowych instytucji kultury </t>
  </si>
  <si>
    <t>05/MOZOO/I/G</t>
  </si>
  <si>
    <t>Miejski Ogród Zoologiczny - modernizacja budynku kasy</t>
  </si>
  <si>
    <t>06/MOZOO/I/G</t>
  </si>
  <si>
    <t>Miejski Ogród Zoologiczny - zakupy inwestycyjne</t>
  </si>
  <si>
    <t>Przebudowa parkingów przy ulicy Norwida</t>
  </si>
  <si>
    <t>Budowa ul. Filtrowej oraz ul. Górnej (rondo)</t>
  </si>
  <si>
    <t>Rozdział 60014 – Drogi publiczne powiatowe</t>
  </si>
  <si>
    <t>33/MZD/I/G</t>
  </si>
  <si>
    <t>05/SP001/I/G</t>
  </si>
  <si>
    <t>Szkoła Podstawowa Nr 1 - zakup urządzenia wielofunkcyjnego</t>
  </si>
  <si>
    <t>20/WIRIII/I/G</t>
  </si>
  <si>
    <t>DZIAŁ 852 – POMOC SPOŁECZNA</t>
  </si>
  <si>
    <t>Rozdział 85219 – Ośrodki pomocy społecznej</t>
  </si>
  <si>
    <t>18/MOPS/I/G</t>
  </si>
  <si>
    <t>Miejski Ośrodek Pomocy Społecznej - zakup i wdrożenie programu kadrowo - płacowego</t>
  </si>
  <si>
    <t>Rozdział 85595 – Pozostała działalność</t>
  </si>
  <si>
    <t>05/WIRIII/I/P</t>
  </si>
  <si>
    <t>08/WKŚII/I/G</t>
  </si>
  <si>
    <t>Zakup zamiatarki ulicznej</t>
  </si>
  <si>
    <t xml:space="preserve">Budowa boiska do piłki ręcznej i siatkówki przy zalewie Sobótka - budżet obywatelski </t>
  </si>
  <si>
    <t>02/WSB/D/I/G</t>
  </si>
  <si>
    <t>Rozliczenie zadania pn. ”Przebudowa ulicy Obrońców Płocka 1920 r.”</t>
  </si>
  <si>
    <t>47/WIRI/I/G</t>
  </si>
  <si>
    <t>Budowa parkingu na Osiedlu Dworcowa - budżet obywatelski</t>
  </si>
  <si>
    <t>04/BOT/I/G</t>
  </si>
  <si>
    <t>Zakup samochodów dla potrzeb Urzędu Miasta</t>
  </si>
  <si>
    <t>21/WIRIII/I/G</t>
  </si>
  <si>
    <t>Przebudowa wejścia do budynku E Urzędu Miasta Płocka wraz z przebudową biura obsługi klienta</t>
  </si>
  <si>
    <t>03/WZK/I/P</t>
  </si>
  <si>
    <t>Zakup urządzeń do dekontaminacji skażonych ubrań strażackich - Fundusz Wsparcia Państwowej Straży Pożarnej</t>
  </si>
  <si>
    <t>05/SP023/I/G</t>
  </si>
  <si>
    <t>Szkoła Podstawowa Nr 23 - zakup i montaż systemu alarmowego</t>
  </si>
  <si>
    <t>05/PR031/I/G</t>
  </si>
  <si>
    <t>Miejskie Przedszkole Nr 31 - zakup automatu szorująco – zbierającego</t>
  </si>
  <si>
    <t>05/GM008/I/G</t>
  </si>
  <si>
    <t>Gimnazjum Nr 8 -zakup pieca konwekcyjno – parowego</t>
  </si>
  <si>
    <t>Budowa placówki opiekuńczo – wychowawczej przy ulicy Południowej 13</t>
  </si>
  <si>
    <t>61/WIRI/I/G</t>
  </si>
  <si>
    <t>Zagospodarowanie Placu Nowy Rynek</t>
  </si>
  <si>
    <t xml:space="preserve">Rozdział 60013 – Drogi publiczne wojewódzkie </t>
  </si>
  <si>
    <t>Budowa trasy północno - zachodniej miasta Płock</t>
  </si>
  <si>
    <t>02/BZN/I/G</t>
  </si>
  <si>
    <t>Rozliczenie nakładów inwestycyjnych poniesionych w związku z realizacją inwestycji – parkingu przy ulicy Sienkiewicza 47</t>
  </si>
  <si>
    <t>Dostosowanie budynków Urzędu Miasta Płocka do wymagań ochrony przeciwpożarowej</t>
  </si>
  <si>
    <t>Rozdział 75404 – Komendy wojewódzkie Policji</t>
  </si>
  <si>
    <t>04/WZK/I/P</t>
  </si>
  <si>
    <t>Zakup psa służbowego dla Komendy Miejskiej Policji w Płocku – Fundusz Wsparcia Policji</t>
  </si>
  <si>
    <t>30/WIRIII/I/G</t>
  </si>
  <si>
    <t>Dostosowanie bazy lokalowej szkół do zmian w związku z reformą oświaty</t>
  </si>
  <si>
    <t>05/PR012/I/G</t>
  </si>
  <si>
    <t xml:space="preserve">Miejskie Przedszkole Nr 12 - zakup zmywarki </t>
  </si>
  <si>
    <t>Przebudowa Miejskiego Przedszkola Nr 6</t>
  </si>
  <si>
    <t>Rozdział 85202 – Domy pomocy społecznej</t>
  </si>
  <si>
    <t>06/WIRIII/I/P</t>
  </si>
  <si>
    <t>Dostosowanie Domu Pomocy Społecznej „Przyjaznych Serc” do wymagań z zakresu ochrony przeciwpożarowej</t>
  </si>
  <si>
    <t xml:space="preserve">Rozdział 92109 – Domy i ośrodki kultury, świetlice i kluby </t>
  </si>
  <si>
    <t xml:space="preserve">Rozdział 92108 – Filharmonie, orkiestry, chóry i kapele </t>
  </si>
  <si>
    <t>03/KMPSP/I/P</t>
  </si>
  <si>
    <t>04/KMPSP/I/P</t>
  </si>
  <si>
    <t>05/SP018/I/G</t>
  </si>
  <si>
    <t>Szkoła Podstawowa Nr 18 - zakup dygestorium</t>
  </si>
  <si>
    <t>05/SP022/I/G</t>
  </si>
  <si>
    <t>Szkoła Podstawowa Nr 22 - zakup i montaż klimatyzacji</t>
  </si>
  <si>
    <t>05/SP017/I/G</t>
  </si>
  <si>
    <t>Szkoła Podstawowa Nr 17 - zakup i montaż systemu alarmowego</t>
  </si>
  <si>
    <t>03/TMZSZ/I/B/P</t>
  </si>
  <si>
    <t>03/PF/I/G</t>
  </si>
  <si>
    <t>Realizacja projektu pn.: „Podstawówka trampoliną do kariery – kształcenie kompetencji kluczowych niezbędnych na rynku pracy i podniesienia jakości nauczania w Szkole Podstawowej Nr 1 i Szkole Podstawowej Nr 17 w Płocku”</t>
  </si>
  <si>
    <t>03/SP005/I/G</t>
  </si>
  <si>
    <t>Szkoła Podstawowa Nr 5 - realizacja projektu pn.: „Przyszłość zaczyna się dziś”</t>
  </si>
  <si>
    <t>19/MOPS/I/G</t>
  </si>
  <si>
    <t>Rozdział 85403 – Specjalne ośrodki szkolno - wychowawcze</t>
  </si>
  <si>
    <t>01/PF/I/P</t>
  </si>
  <si>
    <t>Realizacja projektu pn.: „Nowoczesna edukacja kluczem do sukcesu uczniów Specjalnego Ośrodka Szkolno – Wychowawczego Nr 1 w Płocku”</t>
  </si>
  <si>
    <t>01/WOPIV/I/G</t>
  </si>
  <si>
    <t xml:space="preserve">Rozbudowa drogi powiatowej Nr 5221W ulicy Harcerskiej w m. Płock – etap II </t>
  </si>
  <si>
    <t xml:space="preserve">
Rozbudowa ulicy Łukasiewicza i Batalionów Chłopskich – prace przygotowawcze 
</t>
  </si>
  <si>
    <t>Rozbudowa ulicy Bielskiej</t>
  </si>
  <si>
    <t>Rozbudowa ulicy Przemysłowej i przebudowa ulicy Kostrogaj wraz z niezbędną infrastrukturą w celu udostępnienia terenów inwestycyjnych na Osiedlach: Łukasiewicza i Trzepowo</t>
  </si>
  <si>
    <t>Przebudowa chodnika wzdłuż ulicy Sierpeckiej – budżet obywatelski</t>
  </si>
  <si>
    <t xml:space="preserve">Przebudowa ulicy Chopina </t>
  </si>
  <si>
    <t>Przebudowa mostu przez rzekę Brzeźnicę w ciągu ulicy Szpitalnej</t>
  </si>
  <si>
    <t>Rozbudowa ulicy Dobrzykowskiej na odcinku od ulicy Krakówka do Ronda 19 pp. Odsieczy Lwowa</t>
  </si>
  <si>
    <t xml:space="preserve">Przebudowa chodników w ciągu ulicy Sienkiewicza </t>
  </si>
  <si>
    <t>Rozbudowa ulicy Zielonej - I etap</t>
  </si>
  <si>
    <t>Budowa ścieżek rowerowych na terenie Płocka</t>
  </si>
  <si>
    <t xml:space="preserve">Rozbudowa ulicy Traugutta </t>
  </si>
  <si>
    <t>Przebudowa chodnika przy ulicy Południowej – budżet obywatelski</t>
  </si>
  <si>
    <t>Rozbudowa ulicy Polnej</t>
  </si>
  <si>
    <t xml:space="preserve">Wprowadzenie rozwiązań komunikacyjnych ułatwiających ruch pieszy i osób poruszających się niskoemisyjnymi środkami transportu </t>
  </si>
  <si>
    <t>Rozbudowa odcinka ulicy Na Skarpie</t>
  </si>
  <si>
    <t>Przebudowa elementów pasa drogowego</t>
  </si>
  <si>
    <t>Przebudowa ulicy Kazimierza Wielkiego</t>
  </si>
  <si>
    <t xml:space="preserve">Budowa i modernizacja parkingów oraz miejsc postojowych wraz z zagospodarowaniem </t>
  </si>
  <si>
    <t>Przyłącze budynków Środowiskowego Domu Samopomocy do miejskiej sieci ciepłowniczej</t>
  </si>
  <si>
    <t>01/PP/I/G</t>
  </si>
  <si>
    <t>Zakup defibrylatora wraz z wyposażeniem do Centrum Aktywności Seniora</t>
  </si>
  <si>
    <t>Rozdział 75416 – Straż Miejska</t>
  </si>
  <si>
    <t>10/WIRIII/I/G</t>
  </si>
  <si>
    <t>Rozbudowa budynku Straży Miejskiej</t>
  </si>
  <si>
    <t>32/WIRIII/I/G</t>
  </si>
  <si>
    <t>Dostosowanie budynku szkolnego przy ulicy Miodowej 18 dla Szkoły Podstawowej Nr 17 – prace przygotowawcze</t>
  </si>
  <si>
    <t>Rozdział 80102 – Szkoły podstawowe specjalne</t>
  </si>
  <si>
    <t>03/BRN/I/P</t>
  </si>
  <si>
    <t>Zakup autobusu do przewozu osób niepełnosprawnych dla Zespołu Szkół Ogólnokształcących Specjalnych Nr 7</t>
  </si>
  <si>
    <t>05/SO002/A/I/P</t>
  </si>
  <si>
    <t>Montaż elektronicznej kontroli dostępu dla Specjalnego Ośrodka Szkolno – Wychowawczego Nr 2</t>
  </si>
  <si>
    <t>Rozdział 85406 – Poradnie psychologiczno - pedagogiczne, w tym poradnie specjalistyczne</t>
  </si>
  <si>
    <t>07/WIRIII/I/P</t>
  </si>
  <si>
    <t xml:space="preserve">Budowa i modernizacja oświetlenia oraz elementów bezpieczeństwa ruchu drogowego  </t>
  </si>
  <si>
    <t>03/WSB/D/I/G</t>
  </si>
  <si>
    <t>Dotacje celowe dla zakładu budżetowego</t>
  </si>
  <si>
    <t>04/BIS/I/G</t>
  </si>
  <si>
    <t>Budowa ogrodzenia dla Jednostki Ratowniczo - Gaśniczej Nr 3 Państwowej Straży Pożarnej w Płocku</t>
  </si>
  <si>
    <t>Budowa studni dla Jednostki Ratowniczo - Gaśniczej Nr 3 Państwowej Straży Pożarnej w Płocku</t>
  </si>
  <si>
    <t>05/SP011/I/G</t>
  </si>
  <si>
    <t>Zakup patelni elektrycznej do kuchni szkolnej w Szkole Podstawowej Nr 11</t>
  </si>
  <si>
    <t>05/PR011/I/G</t>
  </si>
  <si>
    <t>Zakup zmywarki z funkcją wyparzacza dla Miejskiego Przedszkola Nr 11</t>
  </si>
  <si>
    <t>Zakup zmywarki gastronomicznej na potrzeby Miejskiego Przedszkola Nr 9</t>
  </si>
  <si>
    <t>02/BIS/I/P</t>
  </si>
  <si>
    <t>05/WZK/I/P</t>
  </si>
  <si>
    <t xml:space="preserve">Rozdział 75412 – Ochotnicze straże pożarne </t>
  </si>
  <si>
    <t>06/WZK/I/G</t>
  </si>
  <si>
    <t>Zakup zestawu ratownictwa technicznego na wyposażenie OSP Płock – Trzepowo</t>
  </si>
  <si>
    <t>Budowa boiska do piłki nożnej przy Szkole Podstawowej Nr 3</t>
  </si>
  <si>
    <t>05/SP021/I/G</t>
  </si>
  <si>
    <t>Zakup sztandaru dla Szkoły Podstawowej Nr 21</t>
  </si>
  <si>
    <t>Zakup sprzętu do siłowni dla Specjalnego Ośrodka Szkolno - Wychowawczego Nr 2</t>
  </si>
  <si>
    <t>05/SO002/I/P</t>
  </si>
  <si>
    <t>05/SO002/B/I/P</t>
  </si>
  <si>
    <t>Zakup automatu myjąco-zbierającego na potrzeby Specjalnego Ośrodka Szkolno – Wychowawczego Nr 2</t>
  </si>
  <si>
    <t>Rozdział 75085 - Wspólna obsługa jednostek samorządu terytorialnego</t>
  </si>
  <si>
    <t>12/ZJO/I/G</t>
  </si>
  <si>
    <t>Zakup i montaż klimatyzatorów dla Zarządu Jednostek Oświatowych</t>
  </si>
  <si>
    <t>Rozdział 85510 – Działalność placówek opiekuńczo - wychowawczych</t>
  </si>
  <si>
    <t>01/RDZ3/I/P</t>
  </si>
  <si>
    <t>Zakup pieca gazowego dla Rodzinnego Domu Dziecka Nr 3</t>
  </si>
  <si>
    <t>Zakup pierwszego wyposażenia ekspozycji  akwarystycznej Wody Świata</t>
  </si>
  <si>
    <t>Zabudowa mieszkaniowa wielorodzinna - Etap I - Budynek mieszkalny wielorodzinny Nr 1 przy ulicy F. Kleeberga w Płocku</t>
  </si>
  <si>
    <t>12/WNW/I/G</t>
  </si>
  <si>
    <t xml:space="preserve">DZIAŁ 925 – OGRODY BOTANICZNE I ZOOLOGICZNE ORAZ NATURALNE OBSZARY I OBIEKTY CHRONIONEJ PRZYRODY  </t>
  </si>
  <si>
    <t>Rozdział 60095 - Pozostała działalność</t>
  </si>
  <si>
    <t>11/WIRIII/I/G</t>
  </si>
  <si>
    <t xml:space="preserve">Budowa zjazdu i drogi wewnętrznej do sali gimnastycznej Szkoły Podstawowej Nr 20 </t>
  </si>
  <si>
    <t>Budowa ściany do ćwiczeń z ratownictwa wysokościowego w Jednostce Ratowniczo – Gaśniczej Nr 3 Komendy Miejskiej Państwowej Straży Pożarnej w Płocku – Fundusz Wsparcia Państwowej Straży Pożarnej</t>
  </si>
  <si>
    <t>Zakup samochodów ratowniczych dla Komendy Miejskiej Państwowej Straży Pożarnej w Płocku – Fundusz Wsparcia Państwowej Straży Pożarnej</t>
  </si>
  <si>
    <t>Wykonanie</t>
  </si>
  <si>
    <t>% wykonania</t>
  </si>
  <si>
    <t>Powyższa kwota przeznaczona została na wniesienie wkładu pieniężnego do spółki Wodociągi Płockie Spółka z o.o. w celu dokapitalizowania spółki.</t>
  </si>
  <si>
    <t>Powyższa kwota przeznaczona została na wniesienie wkładu pieniężnego do spółki Wodociągi Płockie Spółka z o.o. w celu dokapitalizowania spółki, z przeznaczeniem na rozdział kanalizacji ogólnospławnej na kanalizację sanitarną i kanalizację deszczową w ulicy 3. Maja, w Alei Kobylińskiego (od ulicy Łukasiewicza do ulicy Bielskiej), alei Spacerowej i ulicy Tysiąclecia oraz na przebudowę wodociągu w ulicy Ostatniej.</t>
  </si>
  <si>
    <t>W ramach powyższego zadania w 2017 roku wykonywane były czynności nadzoru inwestorskiego w okresie gwarancji i rękojmi w zakresie wdrażania zintegrowanych systemów dynamicznej informacji pasażerskiej, monitoringu wizyjnego i bezpieczeństwa.</t>
  </si>
  <si>
    <t>R/ WPF</t>
  </si>
  <si>
    <t xml:space="preserve">Lata </t>
  </si>
  <si>
    <t>2017- 2019</t>
  </si>
  <si>
    <t>2013-2017</t>
  </si>
  <si>
    <t>WPF
UE</t>
  </si>
  <si>
    <t>2015 - 2018</t>
  </si>
  <si>
    <t>2013-2019</t>
  </si>
  <si>
    <t>2016-2017</t>
  </si>
  <si>
    <t>2016-2020</t>
  </si>
  <si>
    <t>2015-2017</t>
  </si>
  <si>
    <t>2014-2017</t>
  </si>
  <si>
    <t xml:space="preserve">WPF </t>
  </si>
  <si>
    <t>2015-2019</t>
  </si>
  <si>
    <t>2017-2018</t>
  </si>
  <si>
    <t>2017</t>
  </si>
  <si>
    <t>2016-2018</t>
  </si>
  <si>
    <t>2015-2018</t>
  </si>
  <si>
    <t>2014-2019</t>
  </si>
  <si>
    <t>2015-2033</t>
  </si>
  <si>
    <t>2013-2018</t>
  </si>
  <si>
    <t>2017-2020</t>
  </si>
  <si>
    <t>2017-2027</t>
  </si>
  <si>
    <t>2017-2019</t>
  </si>
  <si>
    <t>2016-2021</t>
  </si>
  <si>
    <t>WPF 
UE</t>
  </si>
  <si>
    <t>2015-2020</t>
  </si>
  <si>
    <t>2014-2021</t>
  </si>
  <si>
    <t>W ramach powyższego zadania w 2017 roku przekazano środki finansowe na Fundusz Wsparcia Państwowej Straży Pożarnej z przeznaczeniem na dofinansowanie zakupu samochodów ratowniczych dla Komendy Miejskiej Państwowej Straży Pożarnej w Płocku.</t>
  </si>
  <si>
    <t>W ramach powyższego zadania w 2017 roku przekazane zostały środki finansowe na Fundusz Wsparcia Państwowej Straży Pożarnej z przeznaczeniem na dofinansowanie zakupu urządzeń (pralki i suszarki) do dekontaminacji skażonych ubrań strażackich dla Komendy Miejskiej Państwowej Straży Pożarnej w Płocku.</t>
  </si>
  <si>
    <t>W ramach powyższego zadania w 2017 roku zakupiono urządzenie wielofunkcyjne dla potrzeb szkoły.</t>
  </si>
  <si>
    <t>W ramach powyższego zadania w 2017 roku zakupiono patelnię elektryczną do kuchni szkolnej.</t>
  </si>
  <si>
    <t>W ramach powyższego zadania w 2017 roku zakupiono i zamontowano system alarmowy.</t>
  </si>
  <si>
    <t>W ramach powyższego zadania w 2017 roku zakupiono dygestorium do pracowni chemicznej.</t>
  </si>
  <si>
    <t xml:space="preserve"> W ramach powyższego zadania w 2017 roku zakupiono i zamontowano dwa klimatyzatory.</t>
  </si>
  <si>
    <t xml:space="preserve"> W ramach powyższego zadania w 2017 roku zakupiono i zamontowano system alarmowy.</t>
  </si>
  <si>
    <t>W ramach powyższego zadania w 2017 roku zakupiono sztandar dla Szkoły Podstawowej Nr 21.</t>
  </si>
  <si>
    <t>W ramach powyższego zadania w 2017 roku zakupiono zmywarkę gastronomiczną z funkcją wyparzania na potrzeby Miejskiego Przedszkola Nr 9.</t>
  </si>
  <si>
    <t>Powyższa kwota przeznaczona została na wniesienie wkładu pieniężnego do Spółki Inwestycje Miejskie Sp. z o.o. w celu dokapitalizowania spółki.</t>
  </si>
  <si>
    <t>Powyższa kwota przeznaczona została na wniesienie wkładu pieniężnego do Spółki Płocki Zakład Opieki Zdrowotnej Spółka z o.o. w celu dokapitalizowania spółki.</t>
  </si>
  <si>
    <t>W ramach powyższego zadania w 2017 roku zakupiono i wdrożono program kadrowo – płacowy na potrzeby Miejskiego Ośrodka Pomocy Społecznej.</t>
  </si>
  <si>
    <t>W 2017 roku wniesiono wkład pieniężny do Spółki Wisła Płock Spółka Akcyjna w celu jej dokapitalizowania.</t>
  </si>
  <si>
    <t>W 2017 roku roku wniesiono wkład pieniężny do Spółki Sekcja Piłki Ręcznej – Wisła Płock Spółka Akcyjna w celu jej dokapitalizowania.</t>
  </si>
  <si>
    <t>W ramach powyższego zadania w 2017 roku prowadzona była obsługa projektu unijnego pn.: „Rozwój terenów zieleni w mieście Płocku” realizowanego przez Wydział Inwestycji i Remontów, współfinansowanego ze środków Programu Operacyjnego Infrastruktura i Środowisko 2014-2020, Oś Priorytetowa II Ochrona środowiska, w tym adaptacja do zmian klimatu, Działanie 2.5 Poprawa jakości środowiska miejskiego.</t>
  </si>
  <si>
    <t>WPF -UE</t>
  </si>
  <si>
    <t>W ramach powyższego zadania w 2017 roku wykonano modernizację fontanny Afrodyta zlokalizowanej na placu Stary Rynek, która obejmowała: usunięcie nieszczelności na łączeniach bloków granitowych, mechaniczne i chemiczne oczyszczenie płyt granitowych, renowację konstrukcji stalowej podtrzymującej poziome bloki granitowe, wymianę rurociągów, czyszczenie oraz naprawę kratek przelewowych i barierek zabezpieczających boczne baseny, wymianę filtrów na agregatach pomp, naprawę systemu filtracji wody, montaż automatycznego systemu uzdatniania wody, wykonanie nowego systemu kanalizacji.</t>
  </si>
  <si>
    <t>Powyższa kwota przekazana została na wniesienie wkładu pieniężnego do Spółki Miejski Ośrodek Sportu i Rekreacji Płock Sp. z o.o. z przeznaczeniem na podwyższenie kapitału zakładowego.</t>
  </si>
  <si>
    <t>W ramach powyższego zadania w 2017 roku rozliczono finansowo umowę na wykonanie robót budowlanych związanych z budową siłowni pod chmurką na Osiedlu Dobrzyńska.</t>
  </si>
  <si>
    <t>W ramach powyższego zadania w 2017 roku wykonano roboty budowlane związane z budową skweru rekreacyjno - wypoczynkowego na  Osiedlu Winiary.
Ponadto rozliczono finansowo opracowanie dokumentacji projektowo - kosztorysowej budowy skweru opracowanej w 2016 roku.</t>
  </si>
  <si>
    <t>W ramach powyższego zadania w 2017 roku rozliczono finansowo zadanie związane z zagospodarowaniem terenu zlokalizowanego w Płocku na Osiedlu „Zielony Jar” u zbiegu ulic Armii Krajowej i Batalionu Parasol na działkach o nr ewidencyjnym 3690/17, 3690/18 oraz 3181/2, w zakresie pielęgnacji zieleni.</t>
  </si>
  <si>
    <t>W ramach powyższego zadania w 2017 roku przebudowano i zmodernizowano ścianę z witryną okienną w budynku kasy.</t>
  </si>
  <si>
    <t>Wydatki poniesione w 2017 roku dotyczyły pełnionego nadzoru inwestorskiego w zakresie instalacji i wdrożenia zdalnego systemu zarządzania energią w ramach realizacji przedsięwzięcia pn. "Modernizacja energetyczna obiektów użyteczności publicznej w Płocku".</t>
  </si>
  <si>
    <t xml:space="preserve">W ramach powyższego zadania w 2017 roku zawarto umowę na opracowanie dokumentacji projektowo - kosztorysowej zagospodarowania południowej części Placu Nowy Rynek zgodnie z opracowaną koncepcją, z terminem zakończenia 24.03.2018 roku. </t>
  </si>
  <si>
    <t>Aktywizacja społeczno – gospodarcza zmarginalizowanych śródmiejskich przestrzeni miasta Płocka</t>
  </si>
  <si>
    <t>W 2017 roku rozliczono umowę w zakresie wykonanych badań betonu wbudowanego na budowie schodów górnych i dolnych.</t>
  </si>
  <si>
    <t>W ramach powyższego zadania w 2017 roku zakupiono automat myjąco – zbierający na potrzeby Specjalnego Ośrodka Szkolno – Wychowawczego Nr 2.</t>
  </si>
  <si>
    <t xml:space="preserve">W ramach powyższego zadania w 2017 roku zakupiono samochód osobowo - dostawczy dla potrzeb Harcerskiego Zespółu Pieśni i Tańca "Dzieci Płocka".  </t>
  </si>
  <si>
    <t>W ramach powyższego zadania w 2017 roku zakupiono: drukarkę termiczną do drukowania biletów wstępu, dwa klimatyzatory, przyczepę do ciągnika rolniczego, komputer z oprogramowaniem oraz urządzenie myjące do podłóg i posadzki.</t>
  </si>
  <si>
    <t>W ramach powyższego zadania w 2017 roku przekazana została dotacja celowa dla Płockiej Orkiestry Symfonicznej z przeznaczeniem na zakup kotłów.</t>
  </si>
  <si>
    <t>W ramach powyższego zadania w 2017 roku udzielona została dotacja celowa dla Płockiej Galerii Sztuki z przeznaczeniem na zakup serwera oraz przenośnego komputera wraz z oprogramowaniem.</t>
  </si>
  <si>
    <t>W ramach powyższego zadania w 2017 roku zakończono opracowanie dokumentacji projektowo - kosztorysowej rozbudowy ulic Łukasiewicza i Batalionów Chłopskich w zakresie rozbudowy jezdni, chodników, kanalizacji deszczowej i oświetlenia oraz budowy ścieżki rowerowej.</t>
  </si>
  <si>
    <t xml:space="preserve">W ramach powyższego zadania w 2017 roku zakończono opracowanie dokumentacji projektowo - kosztorysowej rozbudowy ulicy Bielskiej w zakresie odprowadzania wód do rzeki Brzeźnicy. Ponadto rozbudowano ulicę Bielską na odcinku od ulicy Wiadukt do ulicy Sierpeckiej, z wyłączeniem węzła obwodnicy "Bielska", w zakresie budowy ronda, ścieżki rowerowej, oświetlenia ulicznego i parkingów.   </t>
  </si>
  <si>
    <t xml:space="preserve">W ramach powyższego zadania w 2017 roku przebudowano chodnik wzdłuż ulicy Sierpeckiej, na odcinku od ulicy Szkolnej do ulicy Krzywej. </t>
  </si>
  <si>
    <t>W ramach powyższego zadania w 2017 roku zakończono opracowanie dokumentacji projektowo – kosztorysowej przebudowy mostu przez rzekę Brzeźnicę w ciągu ulicy Szpitalnej.</t>
  </si>
  <si>
    <t>W ramach powyższego zadania w 2017 roku rozbudowano ulicę Traugutta wraz z brakującą infrastrukturą.</t>
  </si>
  <si>
    <t>W ramach powyższego zadania w 2017 roku opracowano dokumentację projektowo – kosztorysową oraz przebudowano chodnik przy ulicy Południowej.</t>
  </si>
  <si>
    <t>W ramach powyższego zadania w 2017 roku zakończono prace związane z rozbudową ulicy Polnej.</t>
  </si>
  <si>
    <t>W ramach powyższego zadania w 2017 roku zakończono prace związane z rozbudową odcinka ulicy Na Skarpie.</t>
  </si>
  <si>
    <t>W ramach zadania w 2017 roku  wykonano brakujący odcinek chodnika przy ulicy Synagogalnej.</t>
  </si>
  <si>
    <t>Powyższa kwota przeznaczona została na wniesienie wkładu pieniężnego do spółki z przeznaczeniem na nadbudowę i przebudowę budynku mieszkalnego wielorodzinnego przy ulicy Padlewskiego 6.
Zadanie uzyskało dofinansowanie ze środków Banku Gospodarstwa Krajowego w ramach Funduszu Dopłat w wysokości 918.263,89 zł.</t>
  </si>
  <si>
    <t>W ramach powyższego zadania w 2017 roku nastąpiło finansowe rozliczenie robót budowlanych wykonanych w 2016 roku.</t>
  </si>
  <si>
    <t>W ramach powyższego zadania w 2017 roku opracowano dokumentację projektowo – kosztorysową budowy drogi przejazdowej na terenie szkoły.</t>
  </si>
  <si>
    <t>W 2017 roku rozliczono finansowo umowę zawartą w 2016 roku, dotyczącą budowy budynku socjalnego z toaletą publiczną (w formie rozbudowy istniejącego budynku stróżówki) wraz z zagospodarowaniem terenu w Parku Północnym na Osiedlu Podolszyce Północ.</t>
  </si>
  <si>
    <t xml:space="preserve">W 2017 roku nastąpiło finansowe rozliczenie robót budowlanych wykonanych w 2016 roku, polegających na zagospodarowaniu skweru na Cmentarzu Komunalnym. </t>
  </si>
  <si>
    <t>W ramach powyższego zadania w 2017 roku wykonane zostały roboty budowlano – montażowe związane z budową boiska do koszykówki i siatkówki przy Szkole Podstawowej Nr 15 oraz modernizacja dziedzińca i placu zabaw przez budynkiem szkoły w ramach budżetu obywatelskiego.</t>
  </si>
  <si>
    <t>W ramach powyższego zadania w 2017 roku dokonano rozliczenia z poprzednim wykonawcą robót.</t>
  </si>
  <si>
    <t>W ramach powyższego zadania w 2017 roku pokryto koszty pełnienia nadzoru inwestorskiego w zakresie technologii uzdatniania wody oraz dekoracji akwarium.</t>
  </si>
  <si>
    <t>W ramach powyższego zadania w 2017 roku zakończono prace projektowe związane z opracowaniem koncepcji modernizacji stadionu im. Kazimierza Górskiego wraz z opracowaniem wykazu kosztów inwestycji, wykonano prace budowlane związane z przebudowę boiska z nawierzchnią sztuczną oraz uzyskano certyfikat FIFA Quality Pro.</t>
  </si>
  <si>
    <t>W ramach powyższego zadania w 2017 roku realizowano roboty budowlane wynikające z opracowanej dokumentacji. Dokończenie realizacji robót i całkowite rozliczenie zadania nastąpi w 2018 roku.
Ponadto nastąpiło finansowe rozliczenie umowy z 2016 roku dotyczącej opracowania dokumentacji projektowo – kosztorysowej pumptracku czyli toru do jazdy na rolkach, rowerach i deskorolkach oraz koncepcji zagospodarowania terenu działek w ramach zadania.</t>
  </si>
  <si>
    <t>W ramach powyższego zadania w 2017 roku wykonano roboty budowlane, polegające na modernizacji elementów zewnętrznych, łazienki oraz pomieszczeń piwnic w budynku biblioteki dla dzieci przy ulicy Sienkiewicza 2. Ponato opracowano dokumentację projektowo - kosztorysową modernizacji budynku biblioteki przy ulicy Orzechowej 5a.</t>
  </si>
  <si>
    <t>W ramach powyższego zadania w 2017 roku wykonano roboty budowlane związane z wymianą ogrodzenia wokół placów zabaw.</t>
  </si>
  <si>
    <t>W ramach powyższego zadania w 2017 roku opracowano dokumentację projektowo - kosztorysową rozbiórki budynku przy ulicy Południowej 13 oraz wykonano roboty rozbiórkowe. Ponadto opracowano dokumentację projektowo - kosztorysową budowy nowej siedziby placówki opiekuńczo-wychowawczej.
Niski procent wykonania budżetu wynika z niższych niż planowano kosztów realizacji zadania.</t>
  </si>
  <si>
    <t>W ramach powyższego zadania w 2017 roku opracowano dokumentację projektowo - kosztorysową dostosowania budynku do wymagań ochrony przeciwpożarowej oraz  wykonano przebudowę wewnętrznej instalacji hydrantowej w budynku.
Rozliczenie finansowe zadania nastąpi w 2018 roku.</t>
  </si>
  <si>
    <t>W 2017 roku wykonano roboty budowlane związane z przebudową pomieszczeń zaplecza sanitarno - szatniowego bloku sportowego w gimnazjum.</t>
  </si>
  <si>
    <t>W ramach powyższego zadania w 2017 roku opracowano koncepcję adaptacji części budynku Szkoły Podstawowej Nr 3 przy ulicy Kossobudzkiego 7 na potrzeby Miejskiego Przedszkola Nr 17. Ponadto pokryto koszty opracowania mapy zasadniczej. 
Niski procent wykonania budżetu wynika z niższych niż planowano kosztów realizacji zadania.</t>
  </si>
  <si>
    <t>W 2017 roku rozliczono finansowo umowę na opracowanie dokumentacji projektowo - kosztorysowej budowy placu zabaw oraz wykonane zostały roboty budowlano - montażowe związane z budową placu zabaw dla dzieci w wieku 5-6 lat.</t>
  </si>
  <si>
    <t>W ramach realizacji zadania w 2017 roku wykonany został zjazd z ulicy Podlaskiej oraz droga wewnętrzna do sali gimnastycznej Szkoły Podstawowej Nr 20 wraz z kanalizacją deszczową.</t>
  </si>
  <si>
    <t>W ramach powyższego zadania w 2017 roku wykonano badanie pomiaru czasu pogłosu w sali gimnastycznej w Szkole Podstawowej Nr 11.</t>
  </si>
  <si>
    <t>56/WIRI/I/G</t>
  </si>
  <si>
    <t>W 2017 roku wykonano roboty budowlane związane z przebudową wejścia do budynku E Urzędu Miasta Płock od strony ulicy Kazimierza Wielkiego wraz z przebudową biura obsługi klienta na pomieszczenie biurowe.</t>
  </si>
  <si>
    <t>W 2017 roku rozliczono finansowo umowę na opracowanie dokumentacji projektowo - kosztorysowej zawartą w 2016 roku oraz wykonano roboty budowlane związane z realizacją I etapu dostosowania budynków Urzędu Miasta do wymagań ochrony przeciwpożarowej.
Finansowe rozliczenie zadania nastąpi w 2018 roku.</t>
  </si>
  <si>
    <t>W ramach powyższego zadania w 2017 roku prowadzone były czynności związane z nadzorem nad zielenią na Osiedlu Miodowa - Jar, na podstawie umowy zawartej w 2016 roku.</t>
  </si>
  <si>
    <t xml:space="preserve">W ramach powyższego zadania w 2017 roku zakupiono zamiatarkę uliczną o dużej mocy, z funkcją oczyszczania ulic na mokro. </t>
  </si>
  <si>
    <t>W ramach powyższego zadania w 2017 roku opracowano dokumentację projektowo - kosztorysową uwzględniającą regulację własności gruntów z przeznaczeniem na:
- budowę 2 oczyszczalni wód opadowych,
- modernizację zbiornika retencyjnego (w tym odmulenie) wraz z rozbiórką istniejącej zapory z przelewem grawitacyjnym i budową nowej zapory,
- wykonanie umocnień siatkowo - kamiennych rowu B - N wraz z przebudową jego koryta,
- budowę drogi dojazdowej w skomplikowanych warunkach terenowych, m.in. umożliwiającej wykonywanie prac budowlanych na zbiorniku i jego otoczeniu, a w konsekwencji dojście do obiektu w celu wykorzystania rekreacyjnego i prowadzenia czynności eksploatacyjnych,
- budowę systemu do nawadniania i p.poż. dla najbliższego otoczenia,
- przystosowanie terenów pod rekreację (nasadzenia zieleni, obiekty małej architektury, oświetlenie obiektu).</t>
  </si>
  <si>
    <t>W ramach powyższego zadania w 2017 roku wykonano roboty budowlane w zakresie przebudowy pomieszczeń biurowych na pomieszczenia biurowo - archiwalne w budynku przy ulicy Stary Rynek 1.</t>
  </si>
  <si>
    <t>W ramach powyższego zadania w 2017 roku zakupiono dwa samochody osobowe dla potrzeb Urzędu Miasta.</t>
  </si>
  <si>
    <t>W ramach powyższego zadania w 2017 roku przekazane zostały środki finansowe na Fundusz Wsparcia Policji z przeznaczeniem na zakup dla Komendy Miejskiej Policji w Płocku psa służbowego, który będzie wykorzystywany do wykonywania zadań z zakresu utrzymania bezpieczeństwa mieszkańców miasta.</t>
  </si>
  <si>
    <t>W ramach powyższego zadania w 2017 roku zakupiono zestaw ratownictwa technicznego z przeznaczeniem na wyposażenie Ochotniczej Straży Pożarnej Płock – Trzepowo.</t>
  </si>
  <si>
    <t>W ramach powyższego zadania w 2017 roku przeprowadzono postępowanie o udzielenie zamówienia publicznego na zakup autobusu do przewozu osób niepełnosprawnych dla Zespołu Szkół Ogólnokształcących Specjalnych Nr 7, które zostało unieważnione z powodu wycofania się oferenta.</t>
  </si>
  <si>
    <t>W ramach powyższego zadania w 2017 roku opracowano dokumentację projektowo – kosztorysową przebudowy sygnalizacji świetlnej na skrzyżowaniu ulic Kutnowskiej i Góry.
Ponadto w ramach optymalizacji funkcjonowania urządzeń i instalacji sygnalizacji świetlnej, dla zapewnienia ciągłości pracy sygnalizacji na skrzyżowaniu ulicy Wyszogrodzkiej z aleją Jana Pawła II i aleją Armii Krajowej opracowano i wykonano niezależne funkcjonalnie przyłącze kablowe.</t>
  </si>
  <si>
    <t>W ramach powyższego zadania w 2017 roku wykonano przyłączenie budynków Środowiskowego Domu Samopomocy przy ulicy Mickiewicza 5 i 7 do miejskiej sieci ciepłowniczej.</t>
  </si>
  <si>
    <t>Budowa parkingu przy Szkole Podstawowej Nr 5 - budżet obywatelski</t>
  </si>
  <si>
    <t xml:space="preserve">W ramach powyższego zadania w 2017 roku opracowano dokumentację projektowo - kosztorysową budowy parkingu przy Szkole Podstawowej Nr 5 (przed reformą Gimnazjum Nr 3) wraz z budową nowego ogrodzenia oraz zagospodarowaniem terenu przy ulicy Krakówka. Rozliczenie finansowe zadania nastąpi w 2018 roku. </t>
  </si>
  <si>
    <t>W ramach zadania w 2017 roku rozbudowano odcinek ulicy Harcerskiej w zakresie przebudowy jezdni, chodników, budowy ścieżki rowerowej, oświetlenia ulicznego i budowy kanalizacji deszczowej. 
Zadania zostało dofinansowane ze środków z budżetu państwa, w ramach programu wieloletniego pod nazwą "Program rozwoju gminnej i powiatowej infrastruktury drogowej na lata 2016 - 2019"  kwotą 3.000.000,00 zł.</t>
  </si>
  <si>
    <t>W ramach powyższego zadania w 2017 roku zakończono prace projektowe budowy i modernizacji ciągów pieszych i ścieżek rowerowych w zakresie Tras: R-21 ciąg ulic: Obrońców Westerplatte – Nowy Rynek; R-23 al. J. Kilińskiego i ulicy Mostowej; R-17 ulicy Grabówka, na odcinku od ulicy ks. Niedzielaka do ulicy Gościniec oraz ulicy Korczaka, na odcinku od ulicy Gościniec do ulicy Zarzecznej.</t>
  </si>
  <si>
    <t>W ramach powyższego zadania w 2017 roku dokonano rozliczenia nakładów inwestycyjnych poniesionych przez Inwestycje Miejskie Sp. z o.o. w związku z realizacją inwestycji, polegającej na budowie parkingu przy ulicy Sienkiewicza 47 na działce o nr ewid. 546/3 obręb 8, stanowiącej własność Gminy – Miasto Płock.</t>
  </si>
  <si>
    <t>W ramach powyższego zadania w 2017 roku zgodnie z zawartym porozumieniem przekazano środki finansowe na Fundusz Wsparcia Państwowej Straży Pożarnej z przeznaczeniem na dofinansowanie kontynuacji budowy Jednostki Ratowniczo – Gaśniczej Nr 2 Państwowej Straży Pożarnej  w Płocku przy ulicy Popłacińskiej 8.</t>
  </si>
  <si>
    <t>W ramach powyższego zadania w 2017 roku ze środków pochodzących z dotacji celowej kontynuowano budowę Jednostki Ratowniczo - Gaśniczej Nr 2 Komendy Miejskiej Państwowej Straży Pożarnej w Płocku przy ulicy Popłacińskiej 8.</t>
  </si>
  <si>
    <t>W ramach powyższego zadania w 2017 roku przekazane zostały środki na Fundusz Wsparcia Państwowej Straży Pożarnej z przeznaczeniem na dofinansowanie prac projektowych budowy ściany do ćwiczeń z ratownictwa wysokościowego w Jednostce Ratowniczo – Gaśniczej Nr 3 Komendy Miejskiej Państwowej Straży Pożarnej.</t>
  </si>
  <si>
    <t>W ramach powyższego zadania w 2017 roku zakończono, trwające od 2016 roku roboty budowlano - montażowe związane z przebudową budynku Miejskiego Przedszkola Nr 3 z Oddziałami Integracyjnymi.
Rozliczenie finansowe zadania nastąpi w 2018 roku.</t>
  </si>
  <si>
    <t>W ramach powyższego zadania w 2017 roku opracowano program funkcjonalno - użytkowy dla budowy boiska do piłki ręcznej i siatkówki przy zalewie Sobótka.</t>
  </si>
  <si>
    <t>W ramach powyższego zadania w 2017 roku rozliczono finansowo zakup urządzeń i pierwszego wyposażenia nowej ekspozycji akwarystycznej Wody Świata wraz z zakupem fauny i flory. Ponadto zakupiono kolejne specjalistyczne urządzenia przystosowane wyłącznie do technologii akwarystycznej oraz uzupełniono ekspozycję o nowe gatunki roślin i zwierząt dla ekspozycji Wody Świata.</t>
  </si>
  <si>
    <t>WPF i R</t>
  </si>
  <si>
    <t>20116-2021</t>
  </si>
  <si>
    <t>WPFUE</t>
  </si>
  <si>
    <t>WPF UE</t>
  </si>
  <si>
    <t xml:space="preserve">2012-2020 </t>
  </si>
  <si>
    <t>2016-2022</t>
  </si>
  <si>
    <t xml:space="preserve">2013-2018 </t>
  </si>
  <si>
    <t>2008-2021</t>
  </si>
  <si>
    <t>WPF EU</t>
  </si>
  <si>
    <t>Powyższe środki zostały przeznaczone na rozliczenie projektu pn. "Płocka Platforma Teleinformatyczna e - Urząd".</t>
  </si>
  <si>
    <t>Rozliczenie projektu pn."Płocka Platforma Teleinformatyczna e - Urząd"</t>
  </si>
  <si>
    <t>W ramach powyższego zadania w 2017 roku przekazane zostały dotacje dla partnerów projektu (tj. Gąbin, Powiat Gostyniński) na zakup systemów dziedzinowych i usprawnień elektronicznych w obszarze podatków i opłat lokalnych oraz na zakup sprzętu komputerowego i mebli niezbędnych do funkcjonowania punktów potwierdzania profilu zaufanego. Zadanie sfinansowane zostało środkami z budżetu Unii Europejskiej.</t>
  </si>
  <si>
    <r>
      <rPr>
        <sz val="9"/>
        <color indexed="8"/>
        <rFont val="Verdana"/>
        <family val="2"/>
      </rPr>
      <t>W ramach powyższego zadania w 2017 roku kontynuowano roboty budowlane związane z budową trasy północno - zachodniej miasta Płocka na odcinku od węzła „Boryszewo” w ulicy Otolińskiej do węzła „Bielska” oraz rozpoczęto roboty budowlane w zakresie realizacji kolejnego etapu obwodnicy na odcinku od węzła „Bielska” do węzła „Długa”, z terminem zakończenia 30.06.2018 roku. Ponadto zapewniono nadzór inwestorski i autorski nad robotami oraz kontrolę robót w ramach badań laboratoryjnych.</t>
    </r>
    <r>
      <rPr>
        <sz val="9"/>
        <color indexed="10"/>
        <rFont val="Verdana"/>
        <family val="2"/>
      </rPr>
      <t xml:space="preserve">
</t>
    </r>
    <r>
      <rPr>
        <sz val="9"/>
        <color indexed="8"/>
        <rFont val="Verdana"/>
        <family val="2"/>
      </rPr>
      <t>W 2017 roku zadanie zostało sfinansowane środkami</t>
    </r>
    <r>
      <rPr>
        <sz val="9"/>
        <color indexed="10"/>
        <rFont val="Verdana"/>
        <family val="2"/>
      </rPr>
      <t xml:space="preserve"> </t>
    </r>
    <r>
      <rPr>
        <sz val="9"/>
        <color indexed="8"/>
        <rFont val="Verdana"/>
        <family val="2"/>
      </rPr>
      <t>z Europejskiego Funduszu Rozwoju Regionalnego w ramach Regionalnego Programu Operacyjnego Województwa Mazowieckiego 2014 - 2020 w wysokości 30.070.064,36 zł.</t>
    </r>
  </si>
  <si>
    <t>W ramach powyższego zadania w 2017 roku wykonywano czynności nadzoru inwestorskiego w okresie gwarancji i rękojmi.</t>
  </si>
  <si>
    <t>W ramach powyższego zadania w 2017 roku rozpoczęto rozbudowę ciągu drogowego ulic: Kostrogaj i Wiadukt w zakresie przebudowy jezdni, chodników, oświetlenia ulicznego, budowy parkingów, ścieżki rowerowej i kanalizacji deszczowej oraz przebudowę ulicy Przemysłowej na odcinku od ulicy Gwardii Ludowej do ulicy Kostrogaj w zakresie jezdni, chodników, zatok postojowych, budowy ścieżki rowerowej i kanalizacji deszczowej, z terminem zakończenia 16.07.2018 roku.
W 2017 roku zadanie zostało sfinansowane środkami z Europejskiego Funduszu Rozwoju Regionalnego w ramach Regionalnego Programu Operacyjnego Województwa Mazowieckiego 2014 - 2020 w wysokości 861.523,09 zł.</t>
  </si>
  <si>
    <t>W ramach powyższego zadania w 2017 roku zakończono przebudowę ulicy Chopina na odcinku pomiędzy ulicą Bielską a ulicą Obrońców Płocka 1920 r.</t>
  </si>
  <si>
    <t>W ramach powyższego zadania w 2017 roku  zakończono opracowanie dokumentacji projektowo - kosztorysowej przebudowy i rozbudowy ciągu drogowego ulic Tysiąclecia i Mickiewicza oraz przebudowy i rozbudowy ulicy Łukasiewicza.
Ponadto rozpoczęto rozbudowę ulicy Łukasiewicza, z terminem zakończenia 31.08.2018 roku.
Na realizację zadania podpisano umowę o dofinansowanie ze środków z Europejskiego Funduszu Rozwoju Regionalnego w ramach Regionalnego Programu Operacyjnego Województwa Mazowieckiego 2014 - 2020.</t>
  </si>
  <si>
    <t>W 2017 roku rozliczono finansowo zadanie, obejmujące przebudowę chodników w ciągu ulicy Sienkiewicza, którego faktyczna realizacja została ukończona w 2016 roku.</t>
  </si>
  <si>
    <t>W ramach powyższego zadania w 2017 roku zakończono prace związane z opracowaniem dokumentacji projektowo - kosztorysowej budowy kanalizacji deszczowej w ulicy Strażackiej wraz z odbudową nawierzchni ulicy, w oparciu o umowę zawartą w 2016 roku.</t>
  </si>
  <si>
    <t>W ramach powyższego zadania w 2017 roku zakończono opracowanie dokumentacji projektowo – kosztorysowej oraz rozbiórkę budynku po dawnym przedszkolu. Ponadto wykonano roboty budowlane związane z budową parkingu przy ulicy Piaska wraz z zagospodarowaniem terenu przyległego.</t>
  </si>
  <si>
    <t xml:space="preserve">W ramach powyższego zadania w 2017 roku opracowano dokumentację projektowo - kosztorysową budowy łącznika Czwartaków – Graniczna – Centrum – do ulicy Wyszogrodzkiej (poprzez ulicę Graniczną) oraz ulicy Wodnej (od skrzyżowania z ulicą Graniczną do skrzyżowania z ulicą Górną) z nawiązaniem do węzła komunikacyjnego służącego skomunikowaniu Centrum Handlowo - Usługowego Graniczna z ulicą Wyszogrodzką i trasą Ks. Jerzego Popiełuszki w Płocku. </t>
  </si>
  <si>
    <t>W 2017 roku trwały negocjacje związane z pozyskiwaniem działek, na których możliwe będzie opracowanie dokumentacji projektowo - kosztorysowej związanej z budową połączenia komunikacyjnego pomiędzy osiedlami Podolszyce Południe – Imielnica.
Brak wykonania finansowego związany jest z przedłużającymi się procedurami dotyczącymi pozyskania działek.</t>
  </si>
  <si>
    <t xml:space="preserve">W ramach powyższego zadania w 2017 roku kontynuowano prace związane z opracowaniem kompletnej dokumentacji projektowo - kosztorysowej, na podstawie umowy zawartej w 2016 roku, w zakresie nawierzchni drogi wraz z chodnikami, wjazdami, dojściami do posesji oraz miejscami postojowymi z terminem zakończenia 30.01.2018 roku.  </t>
  </si>
  <si>
    <t>W ramach powyższego zadania w 2017 roku rozpoczęto I etap rozbudowy ulicy Zielonej, z terminem zakończenia 15.06.2018 roku.</t>
  </si>
  <si>
    <t>W ramach powyższego zadania w 2017 roku zakończono i rozliczono przebudowę ulicy Kazimierza Wielkiego na odcinku od ulicy Okrzei do Placu Stary Rynek.</t>
  </si>
  <si>
    <t>W ramach zadania w 2017 roku wypłacono środki finansowe dla osób prawnych i fizycznych za grunty przejęte pod drogi w oparciu o decyzje o zezwoleniu na realizację inwestycji drogowych.
Niski procent wykonania wydatków związany jest z przedłużającymi się procedurami wydawania prawomocnych decyzji o zezwoleniu na realizację inwestycji drogowych.</t>
  </si>
  <si>
    <t>W ramach powyższego zadania w 2017 roku zakończono prace przygotowawcze związane z opracowaniem dokumentacji obejmujące szczegółową kwerendę źródłową, szczegółową inwentaryzację pomiarową i fotograficzną wnętrza obiektu oraz badania konserwatorskie, wynikające z umowy zawartej w 2016 roku.  
Ponadto opracowano projekt koncepcji programowo - przestrzennej modernizacji budynku Urzędu Stanu Cywilnego.</t>
  </si>
  <si>
    <r>
      <t>W ramach powyższego zadania w 2017 roku zrealizowano wnioski dotyczące odpłatnego przejęcia odcinka sieci kanalizacji deszczowej wybudowanej w ulicach:</t>
    </r>
    <r>
      <rPr>
        <sz val="9"/>
        <color indexed="10"/>
        <rFont val="Verdana"/>
        <family val="2"/>
      </rPr>
      <t xml:space="preserve"> </t>
    </r>
    <r>
      <rPr>
        <sz val="9"/>
        <color indexed="8"/>
        <rFont val="Verdana"/>
        <family val="2"/>
      </rPr>
      <t>Jasnej, Żyznej, Górnej i Otolińskiej.</t>
    </r>
  </si>
  <si>
    <t xml:space="preserve">W ramach powyższego zadania w 2017 roku zakupiono urządzenia sieciowe do systemu MDOK,  zestaw komputerowy, trzy laptopy oraz urządzenie wielofunkcyjne. 
Ponadto zakupiono oprogramowanie: EAP XLM Legislator, Artlantis 6 Studio oraz Auto Cad LT 2018 dla potrzeb urzędu.  </t>
  </si>
  <si>
    <t>W ramach powyższego zadania w 2017 roku zakupiono i zamontowano klimatyzatory w nowej siedzibie Zarządu Jednostek Oświatowych.</t>
  </si>
  <si>
    <t>W ramach powższego zadania w 2017 roku zakupiono defibrylator wraz z wyposażeniem do Centrum Aktywności Seniora.</t>
  </si>
  <si>
    <t>W ramach powyższego zadania w 2017 roku wykonano ogrodzenie dla Jednostki Ratowniczo - Gaśniczej Nr 3 Państwowej Straży Pożarnej w Płocku. Zadanie finansowane było środkami pozyskanymi z Funduszu Wsparcia Państwowej Straży Pożarnej.</t>
  </si>
  <si>
    <t>W ramach powyższego zadania w 2017 roku zawarto umowę na zakup i montaż elektronicznych syren alarmowych. Zakończenie i finansowe rozliczenie zadania nastąpi w 2018 roku.</t>
  </si>
  <si>
    <t>W ramach powyższego zadania w 2017 roku opracowano dokumentację projektowo - kosztorysową w zakresie budowy sali gimnastycznej z zapleczem socjalnym, łącznikiem do istniejącego budynku szkoły oraz zagospodarowaniem terenu. Ponadto opracowano dokumentację oraz wykonano roboty rozbiórkowe istniejącej sali gimnastycznej. Wydatki poniesione w ramach realizacji zadania dotyczą również opracowania mapy do celów projektowych oraz analizy opracowanego projektu pod względem dostosowania do wymagań ppoż. 
Niski procent wykonania budżetu wynika z faktu, iż pomimo ogłoszonego w 2017 roku postępowania przetargowego, nie udało się wyłonić wykonawcy robót budowlanych.</t>
  </si>
  <si>
    <r>
      <rPr>
        <sz val="9"/>
        <color indexed="8"/>
        <rFont val="Verdana"/>
        <family val="2"/>
      </rPr>
      <t xml:space="preserve">W ramach powyższego zadania w 2017 roku wykonano roboty budowlane polegające na przebudowie przyłącza telekomunikacyjnego. </t>
    </r>
    <r>
      <rPr>
        <sz val="9"/>
        <color indexed="10"/>
        <rFont val="Verdana"/>
        <family val="2"/>
      </rPr>
      <t xml:space="preserve">
</t>
    </r>
    <r>
      <rPr>
        <sz val="9"/>
        <color indexed="8"/>
        <rFont val="Verdana"/>
        <family val="2"/>
      </rPr>
      <t>Niski procent wykonania budżetu wynika z niższych niż planowano kosztów realizacji zadania.</t>
    </r>
  </si>
  <si>
    <t>W ramach powyższego zadania w 2017 roku opracowano dokumentacje projektowo – kosztorysowe oraz wykonano prace budowlane związane z dostosowaniem bazy lokalowej do wymagań wynikających z reformy oświatowej dla: Szkoły Podstawowej Nr 5, Szkoły Podstawowej Nr 17, Zespołu Szkół Nr 1 oraz Zespołu Szkół Nr 5.</t>
  </si>
  <si>
    <t>W ramach powyższego zadania w 2017 roku opracowano dokumentację projektową placu zabaw oraz zagospodarowania terenu wraz z ogrodzeniem i parkingami, dostosowania budynku dla osób niepełnosprawnych, dostosowania budynku do aktualnych wymagań ochrony ppoż a także aktualizację dokumentacji termomodernizacji budynku, wymiany instalacji centralnego ogrzewania, węzła cieplnego oraz dokumentacji modernizacji pozostałych elementów nie podlegających wymianie, a związanych z programem funkcjonalnym szkoły.</t>
  </si>
  <si>
    <t>W ramach powyższego zadania w 2017 roku opracowano dokumentację projektowo - kosztorysową budowy szkolnego boiska do piłki nożnej wraz z zagospodarowaniem terenu przy Szkole Podstawowej Nr 3.</t>
  </si>
  <si>
    <t>W ramach powyższego zadania w 2017 roku wykonano roboty związane z zapewnieniem ochrony przeciwpożarowej dla placówki, polegające na wykonaniu placu manewrowego dla wozów bojowych Straży Pożarnej.</t>
  </si>
  <si>
    <t>W ramach powyższego zadania w 2017 roku zakupiono zmywarkę do kuchni przedszkolnej.</t>
  </si>
  <si>
    <t>W ramach powyższego zadania w 2017 roku zakupiono zmywarkę z funkcją wyparzacza do kuchni przedszkolnej</t>
  </si>
  <si>
    <t>05/PR009/I/G</t>
  </si>
  <si>
    <t>Realizacja projektu pn.: „Międzykierunkowe centrum przygotowania zawodu”</t>
  </si>
  <si>
    <r>
      <rPr>
        <sz val="9"/>
        <color indexed="8"/>
        <rFont val="Verdana"/>
        <family val="2"/>
      </rPr>
      <t>W ramach powyższego zadania w 2017 roku zakupiono: stół laboratoryjny do pracowni elektroniki, laptop z oprogramowaniem, tablicę interaktywną, serwer, router do pracowni teleinformatycznej.
Zadanie finansowane było środkami z budżetu Unii Europejskiej oraz z budżetu państwa.</t>
    </r>
    <r>
      <rPr>
        <sz val="9"/>
        <color indexed="10"/>
        <rFont val="Verdana"/>
        <family val="2"/>
      </rPr>
      <t xml:space="preserve">
</t>
    </r>
    <r>
      <rPr>
        <sz val="9"/>
        <color indexed="8"/>
        <rFont val="Verdana"/>
        <family val="2"/>
      </rPr>
      <t>Niższe niż planowano wykonanie wydatków w ramach projektu wynika z nierozstrzygnięcia części zamówień publicznych na zakup sprzętu elektronicznego do pracowni elektroniki.</t>
    </r>
  </si>
  <si>
    <t>W ramach powyższego zadania w 2017 roku zakupiono tablicę interaktywną z projektorem, dwie kserokopiarki oraz podłogę interaktywną – 2 sztuki.
Zadanie finansowane było środkami z budżetu Unii Europejskiej.
Niższe niż planowano wykonanie wydatków w ramach projektu wynika z oszczędności powstałych po przeprowadzeniu procedury zamówień publicznych oraz niepełnego zrealizowania planowanego zakresu zadania w związku z nierozstrzygnięciem zamówienia publicznego na zakup pieca ceramicznego.</t>
  </si>
  <si>
    <t>W ramach powyższego zadania w 2017 roku zakupiono dwie tablice interaktywne dla Specjalnego Ośrodka Szkolno – Wychowawczego Nr 1.
Zadanie finansowane było środkami z budżetu Unii Europejskiej.</t>
  </si>
  <si>
    <t>W ramach powyższego zadania w 2017 roku zakupiono dwa monitory interaktywne z oprogramowaniem oraz dwa statywy elektryczne. 
Zadanie finansowane było środkami z budżetu Unii Europejskiej oraz z budżetu państwa.</t>
  </si>
  <si>
    <t>W ramach powyższego zadania w 2017 roku trwały prace związane z opracowaniem dokumentacji projektowo - kosztorysowej w zakresie wybudowania obiektów małej architektury - tężni solankowej na Osiedlu Winiary wraz z zagospodarowaniem terenu, utwardzeniem pod dojazd samochodów do obsługi tężni i zaprojektowaniem niezbędnej infrastruktury. Z uwagi na fakt, iż Wykonawca dokumentacji nie wywiązał się z umownego terminu realizacji, odstąpiono od umowy.</t>
  </si>
  <si>
    <t>W ramach powyższego zadania w 2017 roku zakupiono busa do przewozu osób niepełnosprawnych dla Miejskiego Ośrodka Pomocy Społecznej.</t>
  </si>
  <si>
    <t>W ramach powyższego zadania w 2017 roku zakupiono sprzęt do siłowni tj. orbitrek oraz rower poziomy.</t>
  </si>
  <si>
    <t>W ramach powyższego zadania w 2017 roku wykonano prace projektowe związane z adaptacją pomieszczeń w budynku przy ulicy Jakubowskiego 10 na potrzeby Poradni Psychologiczno - Pedagogicznej Nr 2. 
Niski procent wykonania budżetu wynika z niższych niż planowano kosztów realizacji zadania.</t>
  </si>
  <si>
    <t xml:space="preserve">Adaptacja części pomieszczeń w budynku po Gimnazjum Nr 2 przy ul. Jakubowskiego 10 na potrzeby Poradni Psychologiczno - Pedagogicznej Nr 2 </t>
  </si>
  <si>
    <t>W ramach powyższego zadania w 2017 roku zakupiono piec gazowy do centralnego ogrzewania budynku.</t>
  </si>
  <si>
    <t xml:space="preserve">W ramach zadania w 2017 roku zakupiono kabinę do miniciągnika KUBOTA oraz traktorek ogrodowy na potrzeby realizacji prac na terenie Parku Północnego. </t>
  </si>
  <si>
    <t>W ramach powyższego zadania w 2017 roku udzielone zostały dotacje celowe dla 63 osób na likwidację palenisk opalanych paliwem stałym w budynkach, lokalach mieszkalnych lub użytkowych położonych na terenie Gminy - Miasto Płock i ich zastąpienie przez nowe źródła ogrzewania takie jak: kocioł gazowy, kocioł olejowy, podłączenia do sieci ciepłowniczej.
Wydatkowana kwota umożliwiła zlikwidowanie łącznie 68 palenisk na paliwo węglowe i zastąpienie ich w 62 budynkach ogrzewaniem gazowym, a w jednym budynku ogrzewaniem z sieci cieplnej.</t>
  </si>
  <si>
    <t xml:space="preserve">W ramach powyższego zadania w 2017 roku opracowano dokumentację projektowo - kosztorysową rozbudowy placu składowego wraz z budową linii oświetleniowej i wykonaniem odwodnienia części terenu Parku Północnego. Ponadto wykonano odwodnienie części terenu Parku Północnego i roboty budowlane wynikające z opracowanej dokumentacji. </t>
  </si>
  <si>
    <t xml:space="preserve">W ramach powyższego zadania w 2017 roku opracowano dokumentację projektowo - kosztorysową zagospodarowania terenu Płockiego Nabrzeża Wiślanego i infrastruktury technicznej w zakresie m.in.: przebudowy ulicy Rybaki, przebudowy ulicy Juliusza Kawieckiego, budowy kanalizacji deszczowej i kanalizacji sanitarnej wraz z uzyskaniem na rzecz Zamawiającego decyzji o pozwoleniu na budowę w następującym zakresie:
Etap I - odcinek od ulicy Mostowej do kompleksu rekreacyjno – wypoczynkowego „Sobótka”;
Etap II - odcinek od ulicy Mostowej do terenów - zabudowy Płockiego Towarzystwa Wioślarskiego.
Rozpoczęto prace budowlane w zakresie przebudowy ulicy Rybaki wraz z infrastrukturą techniczną oraz przebudowy nabrzeża wiślanego z tereminem zakończenia 15 grudnia 2018 roku. Nad robotami zapewniono nadzór autorski, nadzór inwestorski oraz kontrolę robót w ramach badań laboratoryjnych.
Ponadto Gmina - Miasto Płock podjęła starania w zakresie pozyskania zewnętrznych środków finansowych na realizację przedsięwzięcia w ramach Planu inwestycyjnego subregionu płockiego objętego OSI problemowym Obszar Funkcjonalny Miasta Płocka (dawniej Regionalne Instrumenty Terytorialne i Obszary Funkcjonalne), jako nowego mechanizmu stworzonego przez Samorząd Województwa Mazowieckiego, mającego na celu wspieranie podejścia terytorialnego w zarządzaniu rozwojem województwa w nowym okresie programowania polityki spójności na lata 2014 – 2020. </t>
  </si>
  <si>
    <t>W ramach powyższego zadania w 2017 roku zakupiono piec konwekcyjno - parowy do stołówki szkolnej.</t>
  </si>
  <si>
    <t>W ramach powyższego zadania w 2017 roku została udzielona dotacja celowa dla Książnicy Płockiej im. Wł Broniewskiego z przeznaczeniem na zakup laptopa oraz systemu zawieszania obrazów z oświetleniem MULTIRAIL.</t>
  </si>
  <si>
    <t>W ramach powyższego zadania w  2017 roku wybudowano zewnętrzną „Siłownię pod chmurką” w pobliżu ulic Harcerskiej i Kątowej na Osiedlu Imielnica.</t>
  </si>
  <si>
    <t>W ramach powyższego zadania w 2017 roku wykonano pomiary wysokościowe rzędnych infrastruktury podziemnej i naziemnej oraz nawierzchni skrzyżowań ulic: Wyszogrodzkiej, Chabrowej, sięgaczy ulicy Filtrowej, Agrestowej, Kalinowej w odniesieniu do zaprojektowanej ulicy Filtrowej. Ponadto planowano wykonanie robót budowlanych, jednakże pomimo trzykrotnie ogłaszanego postępowania przetargowego nie wyłoniono wykonawcy robót w 2017 roku.</t>
  </si>
  <si>
    <t>W ramach powyższego zadania w 2017 roku zakupiono automat szorująco – zbierający do mycia podłóg w przedszkolu.</t>
  </si>
  <si>
    <t>W ramach powyższego zadania w 2017 roku opracowano dokumentację projektowo - kosztorysową budowy wodnego placu zabaw wraz z zagospodarowaniem terenu oraz zaprojektowaniem niezbędnej infrastruktury w Parku Północnym na Osiedlu Podolszyce Północ.
Rozliczenie finansowe zadania nastąpi w 2018 roku.</t>
  </si>
  <si>
    <t>W ramach zadania w 2017 roku przekazana została dotacja celowa dla Zakładu Usług Miejskich „Muniserwis” z przeznaczeniem na zakup dwóch wielofunkcyjnych kosiarek zbierających, dwóch pługów do odśnieżania, dwóch posypywarko – solarek, przyczepy jednoosiowej oraz zagęszczarki.</t>
  </si>
  <si>
    <t>W ramach powyższego zadania w 2017 roku wykonano ciągi komunikacyjne i miejsca postojowe dla parkingu zlokalizowanego pomiędzy ulicami Kobylińskiego i Bartniczą.</t>
  </si>
  <si>
    <t>W ramach powyższego zadania w 2017 roku rozliczono umowę z Wykonawcą z 2016 roku na opracowanie dokumentacji projektowo - kosztorysowej parkingu przy ulicy Otolińskiej.</t>
  </si>
  <si>
    <t xml:space="preserve">W ramach powyższego zadania w 2017 roku opracowano dokumentację projektowo - kosztorysową dla inwestycji pn. „Budowa Nowej Przemysłowej na odcinku od węzła „Trzepowo” do skrzyżowania z drogą powiatową 5205W” wraz z uzbrojeniem terenów inwestycyjnych na Osiedlu Trzepowo oraz uzyskano decyzję o środowiskowych uwarunkowaniach realizacji przedmiotowej inwestycji. Ponadto zawarto umowę o dofinansowanie zadania ze środków z Europejskiego Funduszu Rozwoju Regionalnego w ramach Regionalnego Programu Operacyjnego Województwa Mazowieckiego 2014 - 2020.   </t>
  </si>
  <si>
    <t xml:space="preserve">W ramach powyższego zadania w 2017 roku wykonano badania geotechniczne pod budowę parkingu przy ulicy Norwida 7. Ponadto opracowano dokumentację projektowo -kosztorysową oraz wykonano roboty budowlane polegające na przebudowie parkingu przy ulicy Norwida 7. Rozliczenie finansowe zadania nastąpi w 2018 roku. </t>
  </si>
  <si>
    <t>W ramach powyższego zadania w 2017 roku przekazano dotację do Wojewody Mazowieckiego tytułem zwrotu środków inwestycyjnych po rozliczeniu zadania pn. „Przebudowa ulicy Obrońców Płocka 1920 r."</t>
  </si>
  <si>
    <t>W ramach powyższego zadania w 2017 roku wykonano roboty budowlane związane z budową ulicy Borowickiej na odcinku od ulicy Harcerskiej do skrzyżowania z ulicą Botaniczną wraz z brakującą infrastrukturą - I etap.</t>
  </si>
  <si>
    <t xml:space="preserve">W ramach powyższego zadania w 2017 roku zawarto umowę na opracowanie dokumentacji projektowo - kosztorysowej budowy ulicy Swojskiej na odcinku od wybudowanego skrzyżowania ulicy Swojskiej z ulicą Czwartaków do zmodernizowanej w latach ubiegłych ulicy Swojskiej wraz z sięgaczami i brakującą infrastrukturą techniczną, z terminem zakończenia 22.01.2018 roku.
Wydatki poniesione w ramach realizacji zadania dotyczą opracowania map do celów projektowych w zakresie zmiany geometrii ulicy Swojskiej oraz tyczenia studni kanalizacji deszczowej. 
Niski procent wykonania wydatków związany jest z brakiem zgody właściciela nieruchomości na wykonanie przebudowy urządzeń elektroenergetycznych, w związku z powyższym zaszła konieczność wszczęcia procedury administracyjnej w zakresie uzyskania decyzji na zajęcie nieruchomości w celu wykonania przebudowy. </t>
  </si>
  <si>
    <t>W ramach powyższego zadania w 2017 roku wykonano przebudowę chodników pomiędzy ulicą Bartniczą 1 a Miodową 5; pomiędzy Obrońców Westerplatte 12 - 14; przy ulicy Na Skarpie 7 oraz Kredytowej 1, 2, 3 i 4. Ponadto wykonano badania geotechniczne gruntu oraz dokumentację projektowo - kosztorysową zagospodarowania terenu wokół garaży przy ulicy Gintera.</t>
  </si>
  <si>
    <t>W ramach powyższego zadania zgodnie z „Programem zrównoważonego rozwoju dróg rowerowych na terenie miasta Płocka do 2033 roku w ujęciu krajowym, regionalnym i lokalnym” w 2017 roku zaprojektowano ścieżki rowerowe oraz zakończono budowę ścieżki rowerowej w ciągu ulicy Dobrzykowskiej, na odcinku od ul. Wąskiej do Ronda 19 pp. Odsieczy Lwowa.
Ponadto rozpoczęto budowę ścieżek rowerowych w zakresie Tras: R-70 od Wisły ulicami: Kolejową, Portową, Popłacińską do granicy miasta, z terminem realizacji do 19.02.2018 r.; R-32 ul. Dobrzykowska na odcinku od Ronda 19 pp. Odsieczy Lwowa do granicy miasta, z terminem zakończenia do 10.01.2018 r.; R-1 od al. Armii Krajowej, w ul. Wyszogrodzkiej, al. Piłsudskiego, Al. Jachowicza do ul. Bielskiej, z terminem realizacji do 30.05.2018 r.
W 2017 roku zadanie zostało sfinansowane środkami z Europejskiego Funduszu Rozwoju Regionalnego w ramach Regionalnego Programu Operacyjnego Województwa Mazowieckiego 2014 - 2020 w wysokości 2.004.019,96 zł.</t>
  </si>
  <si>
    <r>
      <rPr>
        <sz val="9"/>
        <color indexed="8"/>
        <rFont val="Verdana"/>
        <family val="2"/>
      </rPr>
      <t>W 2017 roku w ramach tworzenia zasobów gruntowych gminy nabyto nieruchomości przy ulicach:</t>
    </r>
    <r>
      <rPr>
        <sz val="9"/>
        <color indexed="10"/>
        <rFont val="Verdana"/>
        <family val="2"/>
      </rPr>
      <t xml:space="preserve"> </t>
    </r>
    <r>
      <rPr>
        <sz val="9"/>
        <color indexed="8"/>
        <rFont val="Verdana"/>
        <family val="2"/>
      </rPr>
      <t xml:space="preserve">Armii Krajowej, </t>
    </r>
    <r>
      <rPr>
        <sz val="9"/>
        <color indexed="8"/>
        <rFont val="Verdana"/>
        <family val="2"/>
      </rPr>
      <t>Dziewiarskiej, Piłsudskiego</t>
    </r>
    <r>
      <rPr>
        <sz val="9"/>
        <color indexed="63"/>
        <rFont val="Verdana"/>
        <family val="2"/>
      </rPr>
      <t>,</t>
    </r>
    <r>
      <rPr>
        <sz val="9"/>
        <color indexed="8"/>
        <rFont val="Verdana"/>
        <family val="2"/>
      </rPr>
      <t xml:space="preserve"> Ośnickiej, </t>
    </r>
    <r>
      <rPr>
        <sz val="9"/>
        <color indexed="63"/>
        <rFont val="Verdana"/>
        <family val="2"/>
      </rPr>
      <t>C</t>
    </r>
    <r>
      <rPr>
        <sz val="9"/>
        <color indexed="8"/>
        <rFont val="Verdana"/>
        <family val="2"/>
      </rPr>
      <t xml:space="preserve">hełmińskiej, Roguckiego, Sienkiewicza, Zgliczyńskiego, Otolińskiej, Dworcowej, Lasockiego, Płoskiego, Okólnej, Tumskiej, 1. Maja, Kazimierza Wielkiego i w Obrębie 1. </t>
    </r>
  </si>
  <si>
    <t xml:space="preserve">Powyższa kwota przeznaczona została na wniesienie wkładu pieniężnego do spółki Miejskie Towarzystwo Budownictwa Społecznego Spółka z o.o. z przeznaczeniem na budowę budynku komunalnego zlokalizowanego przy ulicy Kleeberga. </t>
  </si>
  <si>
    <t>W ramach powyższego zadania w 2017 roku: wybudowano przyłącze budynków przy ulicy Piaska i ulicy Harcerskiej 91 do miejskiej kanalizacji sanitarnej; przebudowano kominy  w budynku przy ulicy Sienkiewicza 13 a b c; przebudowano węzły sanitarne w budynku przy ulicy Otolińskiej 23; przebudowano schody do budynku przy ulicy 3. Maja 16.    
Ponadto opracowano dokumentację projektowo - kosztorysową termomodernizacji i odwodnienia budynku przy ulicy Bocznej 5 oraz kontynuowano wymianę stolarki okiennej w budynku przy ulicy 3. Maja 16.</t>
  </si>
  <si>
    <t>W ramach powyższego zadania w 2017 roku wykonano roboty budowlane związane z przebudową urządzeń wodnych melioracji oraz rozbudową cmentarza komunalnego. Ponadto wykonano inwentaryzację zieleni.</t>
  </si>
  <si>
    <t>W ramach powyższego zadania w 2017 roku dokonywano płatności na rzecz partneta prywatnego w związku z realizacją umowy nr 27/WRM.I/Z/2563/2015 zawartej w 2015 roku, której przedmiotem jest termomodernizacja, zarządzanie energią i utrzymanie części obiektów w Płocku, w celu osiągnięcia oszczędności w zużyciu energii cieplnej i elektrycznej.</t>
  </si>
  <si>
    <t>2016 -2017</t>
  </si>
  <si>
    <t xml:space="preserve">W ramach powyższego zadania w 2017 roku zakończono roboty budowlano - montażowe związane z przebudową dziedzińca Urzędu Miasta Płocka wraz z przebudową infrastruktury podziemnej oraz z budową nowej nawierzchni i elementów małej architektury. </t>
  </si>
  <si>
    <t xml:space="preserve">Budowa Jednostki Ratowniczo - Gaśniczej Nr 2 Państwowej Straży Pożarnej w Płocku przy ul. Popłacińskiej 8 </t>
  </si>
  <si>
    <t>Zadanie nie zostało zrealizowane z powodu niesprzjających warunków atmosferycznych.</t>
  </si>
  <si>
    <t>W ramach powyższego zadania w 2017 roku rozliczono finansowo umowę na opracowanie kompletnej dokumentacji projektowo – kosztorysowej oraz zakończono roboty budowlane związane z budową boisk, infrastruktury sportowej oraz zagospodarowaniem terenu wraz z infrastrukturą techniczną przy Szkole Podstawowej Nr 12.</t>
  </si>
  <si>
    <t>W ramach powyższego zadania w 2017 roku zakupiono zestaw fotograficzny do nauki zawodu fototechnik w Zespole Szkół Technicznych w Płocku.
Zadanie sfinansowane zostało środkami z budżetu Unii Europejskiej.</t>
  </si>
  <si>
    <t>W ramach zadania system elektronicznej kontroli dostępu zamontowano w Centrum Terapeutyczno  - Rehabilitacyjnym, sześciu klasach szkoły, sali gimnastycznej oraz bibliotece.</t>
  </si>
  <si>
    <t xml:space="preserve">W ramach powyższego zadania w 2017 roku rozpoczęto wykonywanie robót budowlanych związanych z termomodernizacją budynku oraz modernizacją pomieszczeń segmentu B, łącznika oraz bloku żywieniowego internatu - I etap, z terminem zakończenia 28.02.2018 roku. </t>
  </si>
  <si>
    <t>W 2017 roku analizowano możliwość ubiegania się o środki z Unii Europejskiej w ramach konkursów Programu Operacyjnego Infrastruktura i Środowisko 2014-2020 Oś priorytetowa II - Ochrona Środowiska.</t>
  </si>
  <si>
    <t>W ramach zadania w 2017 roku zakończono opracowanie projektu budowlano – wykonawczego oraz rozbudowano oświetlenie odcinka ulicy Ośnickiej.
Ponadto opracowano projekty budowlano – wykonawcze dla potrzeb rozbudowy oświetlenia odcinków ulic: Urodzajnej, Powiśle, Harcerskiej, Lawendowej wraz z łącznikiem do ul. Miętowej, Bielskiej (teren osiedla) oraz przebudowy istniejących kabli oświetleniowych przy ulicy Górnej. Rozbudowano oświetlenie odcinków ulic: Obrońców Westerplatte (teren osiedla), Jakubowskiego (teren osiedla), Urodzajnej i Łukasiewicza (ciąg pieszy wzdłuż cmentarza).
Wykonano aktywne oznakowanie wraz z doświetleniem wybranych przejść dla pieszych na ulicach Płocka, w miejscach szczególnie niebezpiecznych dla ruchu ulicznego, tj.:
- aktywne oznakowanie wraz z doświetleniem przejścia dla pieszych przez ul. Bielską w rejonie siedziby Nadleśnictwa,
- aktywne oznakowanie wraz z  doświetleniem przejścia dla pieszych przez ul. Jana Pawła II,  
- doświetlenie przejścia dla pieszych przez ul. Szpitalną,
- doświetlenie przejścia dla pieszych przez ul. Miodową w rejonie skrzyżowania z ul. Jaśminową.</t>
  </si>
  <si>
    <t>W ramach powyższego zadania w 2017 roku wykonano prace budowlane związane z zagospodarowaniem Placu Dąbrowskiego przy Wieży Ciśnień. Ponadto rozpoczęto wykonywanie robót budowlanych związanych z przebudową alei A. Roguckiego i zagospodarowaniem terenów przyległych do alei, z terminem zakończenia 30.05.2018 roku. 
W 2017 roku zadanie zostało sfinansowane środkami z Funduszu Spójności w ramach Programu Operacyjnego Infrastruktura i Środowisko 2014 - 2020 w wysokości  2.259.616,18 zł.</t>
  </si>
  <si>
    <t>Rozdział 92110 - Galerie i biura wystaw artystycznych</t>
  </si>
  <si>
    <r>
      <t xml:space="preserve">W ramach powyższego zadania w 2017 roku rozpoczęto wykonywanie robót budowlanych związanych z dostosowaniem pomieszczeń budynku przy ul. Jakubowskiego 10 dla potrzeb Płockiego Ośrodka Kultury i Sztuki, z terminem zakończenia 10.05.2018 roku. </t>
    </r>
    <r>
      <rPr>
        <sz val="9"/>
        <color indexed="10"/>
        <rFont val="Verdana"/>
        <family val="2"/>
      </rPr>
      <t xml:space="preserve">
</t>
    </r>
    <r>
      <rPr>
        <sz val="9"/>
        <color indexed="8"/>
        <rFont val="Verdana"/>
        <family val="2"/>
      </rPr>
      <t>W 2017 roku zadanie zostało sfinansowane środkami z Europejskiego Funduszu Rozwoju Regionalnego w ramach Regionalnego Programu Operacyjnego Województwa Mazowieckiego 2014 - 2020 w wysokości 348.338,71 zł.</t>
    </r>
  </si>
  <si>
    <t xml:space="preserve">W ramach powyższego zadania w 2017 roku opracowano program funkcjonalno – użytkowy adaptacji budynku przy ulicy Sienkiewicza 51 dla potrzeb Płockiej Galerii Sztuki wraz z terenem przyległym. Ponadto przeprowadzono i rostrzygnięto konkurs na „Opracowanie koncepcji urbanistyczno - architektonicznej adaptacji budynku przy ulicy Sienkiewicza 51 wraz z planowaną rozbudową i zagospodarowaniem terenu na potrzeby Płockiej Galerii Sztuki”. </t>
  </si>
  <si>
    <t xml:space="preserve">W ramach powyższego zadania w 2017 roku opracowano dokumentację projektowo - kosztorysową w zakresie rozbudowy istniejącego placu zabaw przy ulicy Zródlanej 31 na Osiedlu Wyszogrodzka o budowę boiska wielofunkcyjnego, siłowni pod chmurką, alejek, oświetlenia, stolików do gry wraz z zagospodarowaniem terenu zielenią.
Niski procent wykonania budżetu wynika z braku rostrzygnięcia postępowania przetargowego na wyłonienie wykonawcy ww. inwestycji. </t>
  </si>
  <si>
    <t xml:space="preserve">  Wszystkie zadania majątkowe są realizowane na nieruchomościach do których Gmina – Miasto Płock posiada tytuł prawny. </t>
  </si>
  <si>
    <t>W ramach powyższego zadania w 2017 roku zakończono rozbudowę odcinka ulicy Dobrzykowskiej, w tym również w zakresie budowy kanalizacji deszczowej, ścieżki rowerowej oraz budowy i przebudowy oświetlenia ulicznego.</t>
  </si>
  <si>
    <t>W ramach powyższego zadania w 2017 roku opracowano dokumentację projektowo - kosztorysową budowy parkingu na Osiedlu Dworcowa przy zbiegu ulic: Lasockiego i Reja.
Całkowite finansowe rozliczenie umowy na opracowanie ww. dokumentacji nastąpi w 2018 roku.</t>
  </si>
  <si>
    <t>W roku 2017 nastąpiło rozliczenie finansowe zadania.</t>
  </si>
  <si>
    <t>W ramach powyższego zadania w 2017 roku:
- rozliczono częściowo budowę terenu rekreacyjno – zabawowego przy ulicy Krakówka, 
- naprawiono wielofunkcyjne boisko o nawierzchni poliuretanowej  przy ulicy Teligi na Osiedlu Radziwie,
- zakończono prace projektowe przy zagospodarowaniu terenu istniejącego boiska sportowego przy ulicy Władysława Hermana na Osiedlu Tysiąclecia,
- rozliczono finansowo umowę na kompletną zamienną dokumentację projektowo-kosztorysową o nazwie „Przebudowa Alei A. Roguckiego i zagospodarowanie terenów przyległych do Alei w Płocku” i dostosowanie jej do maksymalnego spełnienia warunków określonych w Regulaminie Konkursu: Program Operacyjny Infrastruktura i Środowisko 2014-2016 – Oś priorytetowa II – Ochrona Środowiska, w tym adaptacja do zmian klimatu – Działanie 2.5 – Poprawa jakości środowiska miejskiego – Typ projektu 2.5.2 – Rozwój terenów zieleni w miastach i obszarach funkcjonalnych,
- rozliczono finansowo umowę w zakresie zagospodarowanie terenu przy ul. Zielonej 40, 
- pokryto koszty opracowania programu funkcjonalno-użytkowego dla toalety miejskiej ogólnodostępnej przy Alei A.Roguckiego oraz zawarto umowę na wykonanie robót budowlanych. 
Zadanie uzyskało dofinansowanie ze środków Ministerstwa Sportu i Turystyki w wysokości 175.071,00 zł.
Niski procent wykonania budżetu wynika z faktu, iż zabezpieczone środki oraz zakres rzeczowy zadania obejmował między innymi opracowanie dokumentacji projektowo -kosztorysowej oraz wykonanie robót budowlanych związanych z placem zabaw na Osiedlu Stare Miasto natomiast w 2017 roku opracowana była koncepcja urbanistyczno - architektoniczna zagospodarowania działek przy ulicy Kazimierza Wielkiego wraz z ciągiem nadskarpowym, na których zlokalizowany ma być plac zabaw.</t>
  </si>
  <si>
    <t>Omówienie zrealizowanych wydatków majątkowych gminy i powiatu w podziale na zadania,                  w układzie działów i rozdziałów klasyfikacji budżetowej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</si>
</sst>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F400]h:mm:ss\ AM/PM"/>
  </numFmts>
  <fonts count="57">
    <font>
      <sz val="10"/>
      <name val="Arial CE"/>
      <family val="2"/>
    </font>
    <font>
      <sz val="10"/>
      <name val="Arial"/>
      <family val="0"/>
    </font>
    <font>
      <b/>
      <i/>
      <sz val="11"/>
      <name val="Verdana"/>
      <family val="2"/>
    </font>
    <font>
      <b/>
      <sz val="14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9"/>
      <color indexed="10"/>
      <name val="Verdana"/>
      <family val="2"/>
    </font>
    <font>
      <b/>
      <i/>
      <sz val="9"/>
      <color indexed="8"/>
      <name val="Verdana"/>
      <family val="2"/>
    </font>
    <font>
      <i/>
      <sz val="9"/>
      <name val="Verdana"/>
      <family val="2"/>
    </font>
    <font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9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Verdana"/>
      <family val="2"/>
    </font>
    <font>
      <sz val="9"/>
      <color rgb="FF000000"/>
      <name val="Verdana"/>
      <family val="2"/>
    </font>
    <font>
      <sz val="9"/>
      <color theme="1" tint="0.04998999834060669"/>
      <name val="Verdana"/>
      <family val="2"/>
    </font>
    <font>
      <sz val="9"/>
      <color theme="1" tint="0.24998000264167786"/>
      <name val="Verdana"/>
      <family val="2"/>
    </font>
    <font>
      <b/>
      <i/>
      <sz val="9"/>
      <color theme="1" tint="0.24998000264167786"/>
      <name val="Verdana"/>
      <family val="2"/>
    </font>
    <font>
      <sz val="9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4" fontId="51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9" fillId="33" borderId="10" xfId="0" applyNumberFormat="1" applyFont="1" applyFill="1" applyBorder="1" applyAlignment="1">
      <alignment horizontal="right" vertical="center" wrapText="1"/>
    </xf>
    <xf numFmtId="0" fontId="5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justify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justify" vertical="center" wrapText="1"/>
    </xf>
    <xf numFmtId="4" fontId="53" fillId="33" borderId="10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10" fontId="6" fillId="0" borderId="10" xfId="0" applyNumberFormat="1" applyFont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10" fontId="9" fillId="0" borderId="10" xfId="0" applyNumberFormat="1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right" vertical="center" wrapText="1"/>
    </xf>
    <xf numFmtId="10" fontId="54" fillId="0" borderId="10" xfId="0" applyNumberFormat="1" applyFont="1" applyBorder="1" applyAlignment="1">
      <alignment horizontal="center" vertical="center" wrapText="1"/>
    </xf>
    <xf numFmtId="10" fontId="55" fillId="0" borderId="10" xfId="0" applyNumberFormat="1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6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56" fillId="33" borderId="10" xfId="0" applyFont="1" applyFill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8"/>
  <sheetViews>
    <sheetView tabSelected="1" view="pageBreakPreview" zoomScale="120" zoomScaleNormal="120" zoomScaleSheetLayoutView="120" zoomScalePageLayoutView="0" workbookViewId="0" topLeftCell="A211">
      <selection activeCell="O215" sqref="O215"/>
    </sheetView>
  </sheetViews>
  <sheetFormatPr defaultColWidth="9.00390625" defaultRowHeight="12.75"/>
  <cols>
    <col min="4" max="4" width="15.875" style="0" customWidth="1"/>
    <col min="5" max="5" width="59.25390625" style="0" customWidth="1"/>
    <col min="6" max="6" width="16.75390625" style="0" customWidth="1"/>
    <col min="7" max="7" width="0" style="0" hidden="1" customWidth="1"/>
    <col min="8" max="8" width="16.125" style="0" customWidth="1"/>
    <col min="9" max="9" width="13.625" style="0" customWidth="1"/>
    <col min="10" max="10" width="7.875" style="0" hidden="1" customWidth="1"/>
    <col min="11" max="11" width="0" style="0" hidden="1" customWidth="1"/>
  </cols>
  <sheetData>
    <row r="1" spans="6:9" ht="14.25">
      <c r="F1" s="1"/>
      <c r="G1" s="2"/>
      <c r="H1" s="2"/>
      <c r="I1" s="2"/>
    </row>
    <row r="2" spans="1:11" ht="42" customHeight="1">
      <c r="A2" s="69" t="s">
        <v>612</v>
      </c>
      <c r="B2" s="69"/>
      <c r="C2" s="69"/>
      <c r="D2" s="69"/>
      <c r="E2" s="69"/>
      <c r="F2" s="69"/>
      <c r="G2" s="69"/>
      <c r="H2" s="69"/>
      <c r="I2" s="69"/>
      <c r="J2" s="68"/>
      <c r="K2" s="68"/>
    </row>
    <row r="4" spans="1:11" ht="24" customHeight="1">
      <c r="A4" s="20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0" t="s">
        <v>398</v>
      </c>
      <c r="I4" s="20" t="s">
        <v>399</v>
      </c>
      <c r="J4" s="58" t="s">
        <v>403</v>
      </c>
      <c r="K4" s="58" t="s">
        <v>404</v>
      </c>
    </row>
    <row r="5" spans="1:11" ht="24" customHeight="1">
      <c r="A5" s="82" t="s">
        <v>7</v>
      </c>
      <c r="B5" s="82"/>
      <c r="C5" s="82"/>
      <c r="D5" s="82"/>
      <c r="E5" s="82"/>
      <c r="F5" s="21">
        <f>F6</f>
        <v>9200000</v>
      </c>
      <c r="G5" s="21" t="e">
        <f>G6</f>
        <v>#VALUE!</v>
      </c>
      <c r="H5" s="21">
        <f>H6</f>
        <v>9200000</v>
      </c>
      <c r="I5" s="44">
        <f>H5/F5</f>
        <v>1</v>
      </c>
      <c r="J5" s="55"/>
      <c r="K5" s="55"/>
    </row>
    <row r="6" spans="1:11" ht="24" customHeight="1">
      <c r="A6" s="22" t="s">
        <v>8</v>
      </c>
      <c r="B6" s="22"/>
      <c r="C6" s="22"/>
      <c r="D6" s="22"/>
      <c r="E6" s="22"/>
      <c r="F6" s="23">
        <f>F7+F9</f>
        <v>9200000</v>
      </c>
      <c r="G6" s="23" t="e">
        <f>G7+G9</f>
        <v>#VALUE!</v>
      </c>
      <c r="H6" s="23">
        <f>H7+H9</f>
        <v>9200000</v>
      </c>
      <c r="I6" s="44">
        <f>H6/F6</f>
        <v>1</v>
      </c>
      <c r="J6" s="55"/>
      <c r="K6" s="55"/>
    </row>
    <row r="7" spans="1:11" ht="42.75" customHeight="1">
      <c r="A7" s="24">
        <v>1</v>
      </c>
      <c r="B7" s="24">
        <v>400</v>
      </c>
      <c r="C7" s="24">
        <v>40002</v>
      </c>
      <c r="D7" s="24" t="s">
        <v>9</v>
      </c>
      <c r="E7" s="25" t="s">
        <v>10</v>
      </c>
      <c r="F7" s="26">
        <f>5000000-1550000+550000</f>
        <v>4000000</v>
      </c>
      <c r="G7" s="41" t="s">
        <v>11</v>
      </c>
      <c r="H7" s="26">
        <v>4000000</v>
      </c>
      <c r="I7" s="41">
        <f>H7/F7</f>
        <v>1</v>
      </c>
      <c r="J7" s="56" t="s">
        <v>11</v>
      </c>
      <c r="K7" s="56">
        <v>2017</v>
      </c>
    </row>
    <row r="8" spans="1:11" ht="40.5" customHeight="1">
      <c r="A8" s="81" t="s">
        <v>400</v>
      </c>
      <c r="B8" s="81"/>
      <c r="C8" s="81"/>
      <c r="D8" s="81"/>
      <c r="E8" s="81"/>
      <c r="F8" s="81"/>
      <c r="G8" s="81"/>
      <c r="H8" s="81"/>
      <c r="I8" s="81"/>
      <c r="J8" s="58"/>
      <c r="K8" s="56"/>
    </row>
    <row r="9" spans="1:11" ht="40.5" customHeight="1">
      <c r="A9" s="24">
        <v>2</v>
      </c>
      <c r="B9" s="24">
        <v>400</v>
      </c>
      <c r="C9" s="24">
        <v>40002</v>
      </c>
      <c r="D9" s="24" t="s">
        <v>208</v>
      </c>
      <c r="E9" s="25" t="s">
        <v>209</v>
      </c>
      <c r="F9" s="26">
        <f>1550000+3650000</f>
        <v>5200000</v>
      </c>
      <c r="G9" s="17"/>
      <c r="H9" s="28">
        <v>5200000</v>
      </c>
      <c r="I9" s="42">
        <f>H9/F9</f>
        <v>1</v>
      </c>
      <c r="J9" s="57" t="s">
        <v>16</v>
      </c>
      <c r="K9" s="57" t="s">
        <v>405</v>
      </c>
    </row>
    <row r="10" spans="1:11" ht="57.75" customHeight="1">
      <c r="A10" s="81" t="s">
        <v>401</v>
      </c>
      <c r="B10" s="81"/>
      <c r="C10" s="81"/>
      <c r="D10" s="81"/>
      <c r="E10" s="81"/>
      <c r="F10" s="81"/>
      <c r="G10" s="81"/>
      <c r="H10" s="81"/>
      <c r="I10" s="81"/>
      <c r="J10" s="56"/>
      <c r="K10" s="56"/>
    </row>
    <row r="11" spans="1:11" ht="35.25" customHeight="1">
      <c r="A11" s="83" t="s">
        <v>12</v>
      </c>
      <c r="B11" s="83"/>
      <c r="C11" s="83"/>
      <c r="D11" s="83"/>
      <c r="E11" s="83"/>
      <c r="F11" s="27">
        <f>F12+F21+F46+F95+F18+F15+F98</f>
        <v>79411823.27000001</v>
      </c>
      <c r="G11" s="27" t="e">
        <f>G12+G21+G46+G95+G18+G15+G98</f>
        <v>#VALUE!</v>
      </c>
      <c r="H11" s="27">
        <f>H12+H21+H46+H95+H18+H15+H98</f>
        <v>77432064.37</v>
      </c>
      <c r="I11" s="46">
        <f>H11/F11</f>
        <v>0.975069721126175</v>
      </c>
      <c r="J11" s="56"/>
      <c r="K11" s="56"/>
    </row>
    <row r="12" spans="1:11" ht="27" customHeight="1">
      <c r="A12" s="84" t="s">
        <v>13</v>
      </c>
      <c r="B12" s="84"/>
      <c r="C12" s="84"/>
      <c r="D12" s="84"/>
      <c r="E12" s="84"/>
      <c r="F12" s="27">
        <f>F13</f>
        <v>3867</v>
      </c>
      <c r="G12" s="27" t="str">
        <f>G13</f>
        <v>WPF</v>
      </c>
      <c r="H12" s="27">
        <f>H13</f>
        <v>3866.5</v>
      </c>
      <c r="I12" s="47">
        <f>H12/F12</f>
        <v>0.9998707008016551</v>
      </c>
      <c r="J12" s="56"/>
      <c r="K12" s="56"/>
    </row>
    <row r="13" spans="1:11" ht="39.75" customHeight="1">
      <c r="A13" s="24">
        <v>3</v>
      </c>
      <c r="B13" s="24">
        <v>600</v>
      </c>
      <c r="C13" s="24">
        <v>60004</v>
      </c>
      <c r="D13" s="24" t="s">
        <v>14</v>
      </c>
      <c r="E13" s="25" t="s">
        <v>15</v>
      </c>
      <c r="F13" s="26">
        <v>3867</v>
      </c>
      <c r="G13" s="41" t="s">
        <v>16</v>
      </c>
      <c r="H13" s="26">
        <v>3866.5</v>
      </c>
      <c r="I13" s="41">
        <f>H13/F13</f>
        <v>0.9998707008016551</v>
      </c>
      <c r="J13" s="57" t="s">
        <v>517</v>
      </c>
      <c r="K13" s="57" t="s">
        <v>406</v>
      </c>
    </row>
    <row r="14" spans="1:11" ht="47.25" customHeight="1">
      <c r="A14" s="81" t="s">
        <v>402</v>
      </c>
      <c r="B14" s="81"/>
      <c r="C14" s="81"/>
      <c r="D14" s="81"/>
      <c r="E14" s="81"/>
      <c r="F14" s="81"/>
      <c r="G14" s="81"/>
      <c r="H14" s="81"/>
      <c r="I14" s="81"/>
      <c r="J14" s="56"/>
      <c r="K14" s="56"/>
    </row>
    <row r="15" spans="1:11" ht="47.25" customHeight="1">
      <c r="A15" s="84" t="s">
        <v>290</v>
      </c>
      <c r="B15" s="81"/>
      <c r="C15" s="81"/>
      <c r="D15" s="81"/>
      <c r="E15" s="81"/>
      <c r="F15" s="27">
        <f>F16</f>
        <v>44052995.34</v>
      </c>
      <c r="G15" s="27">
        <f>G16</f>
        <v>0</v>
      </c>
      <c r="H15" s="27">
        <f>H16</f>
        <v>42338884.69</v>
      </c>
      <c r="I15" s="46">
        <f>H15/F15</f>
        <v>0.9610898047506069</v>
      </c>
      <c r="J15" s="56"/>
      <c r="K15" s="56"/>
    </row>
    <row r="16" spans="1:11" ht="47.25" customHeight="1">
      <c r="A16" s="18">
        <v>4</v>
      </c>
      <c r="B16" s="18">
        <v>600</v>
      </c>
      <c r="C16" s="18">
        <v>60013</v>
      </c>
      <c r="D16" s="18" t="s">
        <v>371</v>
      </c>
      <c r="E16" s="17" t="s">
        <v>291</v>
      </c>
      <c r="F16" s="28">
        <f>67745135.34+500000-7000000-18200000-4000000+5007860</f>
        <v>44052995.34</v>
      </c>
      <c r="G16" s="17"/>
      <c r="H16" s="28">
        <f>29677565.92+12661318.77</f>
        <v>42338884.69</v>
      </c>
      <c r="I16" s="42">
        <f>H16/F16</f>
        <v>0.9610898047506069</v>
      </c>
      <c r="J16" s="57" t="s">
        <v>407</v>
      </c>
      <c r="K16" s="57" t="s">
        <v>408</v>
      </c>
    </row>
    <row r="17" spans="1:11" ht="76.5" customHeight="1">
      <c r="A17" s="86" t="s">
        <v>526</v>
      </c>
      <c r="B17" s="81"/>
      <c r="C17" s="81"/>
      <c r="D17" s="81"/>
      <c r="E17" s="81"/>
      <c r="F17" s="81"/>
      <c r="G17" s="81"/>
      <c r="H17" s="81"/>
      <c r="I17" s="81"/>
      <c r="J17" s="56"/>
      <c r="K17" s="56"/>
    </row>
    <row r="18" spans="1:11" ht="31.5" customHeight="1">
      <c r="A18" s="84" t="s">
        <v>257</v>
      </c>
      <c r="B18" s="81"/>
      <c r="C18" s="81"/>
      <c r="D18" s="81"/>
      <c r="E18" s="81"/>
      <c r="F18" s="27">
        <f>F19</f>
        <v>7723132</v>
      </c>
      <c r="G18" s="27">
        <f>G19</f>
        <v>0</v>
      </c>
      <c r="H18" s="27">
        <f>H19</f>
        <v>7718380.05</v>
      </c>
      <c r="I18" s="47">
        <f>H18/F18</f>
        <v>0.9993847120572327</v>
      </c>
      <c r="J18" s="56"/>
      <c r="K18" s="56"/>
    </row>
    <row r="19" spans="1:11" ht="47.25" customHeight="1">
      <c r="A19" s="18">
        <v>5</v>
      </c>
      <c r="B19" s="18">
        <v>600</v>
      </c>
      <c r="C19" s="18">
        <v>60014</v>
      </c>
      <c r="D19" s="18" t="s">
        <v>210</v>
      </c>
      <c r="E19" s="4" t="s">
        <v>326</v>
      </c>
      <c r="F19" s="28">
        <f>7627132+96000</f>
        <v>7723132</v>
      </c>
      <c r="G19" s="17"/>
      <c r="H19" s="28">
        <f>7718380.05</f>
        <v>7718380.05</v>
      </c>
      <c r="I19" s="42">
        <f>H19/F19</f>
        <v>0.9993847120572327</v>
      </c>
      <c r="J19" s="56" t="s">
        <v>11</v>
      </c>
      <c r="K19" s="56">
        <v>2017</v>
      </c>
    </row>
    <row r="20" spans="1:11" ht="52.5" customHeight="1">
      <c r="A20" s="81" t="s">
        <v>505</v>
      </c>
      <c r="B20" s="81"/>
      <c r="C20" s="81"/>
      <c r="D20" s="81"/>
      <c r="E20" s="81"/>
      <c r="F20" s="81"/>
      <c r="G20" s="81"/>
      <c r="H20" s="81"/>
      <c r="I20" s="81"/>
      <c r="J20" s="56"/>
      <c r="K20" s="56"/>
    </row>
    <row r="21" spans="1:11" ht="43.5" customHeight="1">
      <c r="A21" s="84" t="s">
        <v>17</v>
      </c>
      <c r="B21" s="84"/>
      <c r="C21" s="84"/>
      <c r="D21" s="84"/>
      <c r="E21" s="84"/>
      <c r="F21" s="27">
        <f>F22+F24+F26+F28+F32+F34+F38+F40+F42+F36+F44+F30</f>
        <v>9605229.91</v>
      </c>
      <c r="G21" s="27" t="e">
        <f>G22+G24+G26+G28+G32+G34+G38+G40+G42+G36+G44+G30</f>
        <v>#VALUE!</v>
      </c>
      <c r="H21" s="27">
        <f>H22+H24+H26+H28+H32+H34+H38+H40+H42+H36+H44+H30</f>
        <v>9516933.95</v>
      </c>
      <c r="I21" s="47">
        <f>H21/F21</f>
        <v>0.9908075120713065</v>
      </c>
      <c r="J21" s="56"/>
      <c r="K21" s="56"/>
    </row>
    <row r="22" spans="1:11" ht="39" customHeight="1">
      <c r="A22" s="3">
        <v>6</v>
      </c>
      <c r="B22" s="3">
        <v>600</v>
      </c>
      <c r="C22" s="3">
        <v>60015</v>
      </c>
      <c r="D22" s="3" t="s">
        <v>18</v>
      </c>
      <c r="E22" s="10" t="s">
        <v>19</v>
      </c>
      <c r="F22" s="29">
        <v>5313.6</v>
      </c>
      <c r="G22" s="41" t="s">
        <v>16</v>
      </c>
      <c r="H22" s="26">
        <f>5313.6</f>
        <v>5313.6</v>
      </c>
      <c r="I22" s="41">
        <f>H22/F22</f>
        <v>1</v>
      </c>
      <c r="J22" s="56" t="s">
        <v>16</v>
      </c>
      <c r="K22" s="57" t="s">
        <v>409</v>
      </c>
    </row>
    <row r="23" spans="1:11" ht="36.75" customHeight="1">
      <c r="A23" s="70" t="s">
        <v>527</v>
      </c>
      <c r="B23" s="70"/>
      <c r="C23" s="70"/>
      <c r="D23" s="70"/>
      <c r="E23" s="70"/>
      <c r="F23" s="70"/>
      <c r="G23" s="70"/>
      <c r="H23" s="70"/>
      <c r="I23" s="70"/>
      <c r="J23" s="56"/>
      <c r="K23" s="57"/>
    </row>
    <row r="24" spans="1:11" ht="36.75" customHeight="1">
      <c r="A24" s="6">
        <v>7</v>
      </c>
      <c r="B24" s="3">
        <v>600</v>
      </c>
      <c r="C24" s="3">
        <v>60015</v>
      </c>
      <c r="D24" s="3" t="s">
        <v>20</v>
      </c>
      <c r="E24" s="31" t="s">
        <v>21</v>
      </c>
      <c r="F24" s="29">
        <f>185402+13530-185402</f>
        <v>13530</v>
      </c>
      <c r="G24" s="41" t="s">
        <v>11</v>
      </c>
      <c r="H24" s="26">
        <v>13530</v>
      </c>
      <c r="I24" s="41">
        <f>H24/F24</f>
        <v>1</v>
      </c>
      <c r="J24" s="56" t="s">
        <v>16</v>
      </c>
      <c r="K24" s="57" t="s">
        <v>418</v>
      </c>
    </row>
    <row r="25" spans="1:11" ht="40.5" customHeight="1">
      <c r="A25" s="70" t="s">
        <v>579</v>
      </c>
      <c r="B25" s="70"/>
      <c r="C25" s="70"/>
      <c r="D25" s="70"/>
      <c r="E25" s="70"/>
      <c r="F25" s="70"/>
      <c r="G25" s="70"/>
      <c r="H25" s="70"/>
      <c r="I25" s="70"/>
      <c r="J25" s="56"/>
      <c r="K25" s="57"/>
    </row>
    <row r="26" spans="1:11" ht="36" customHeight="1">
      <c r="A26" s="3">
        <v>8</v>
      </c>
      <c r="B26" s="3">
        <v>600</v>
      </c>
      <c r="C26" s="3">
        <v>60015</v>
      </c>
      <c r="D26" s="3" t="s">
        <v>22</v>
      </c>
      <c r="E26" s="10" t="s">
        <v>23</v>
      </c>
      <c r="F26" s="29">
        <f>6400000-5575900+30000+1000000-1007860</f>
        <v>846240</v>
      </c>
      <c r="G26" s="41" t="s">
        <v>16</v>
      </c>
      <c r="H26" s="26">
        <v>824100</v>
      </c>
      <c r="I26" s="41">
        <f>H26/F26</f>
        <v>0.9738372093023255</v>
      </c>
      <c r="J26" s="56" t="s">
        <v>407</v>
      </c>
      <c r="K26" s="57" t="s">
        <v>411</v>
      </c>
    </row>
    <row r="27" spans="1:11" ht="64.5" customHeight="1">
      <c r="A27" s="70" t="s">
        <v>580</v>
      </c>
      <c r="B27" s="70"/>
      <c r="C27" s="70"/>
      <c r="D27" s="70"/>
      <c r="E27" s="70"/>
      <c r="F27" s="70"/>
      <c r="G27" s="70"/>
      <c r="H27" s="70"/>
      <c r="I27" s="70"/>
      <c r="J27" s="56"/>
      <c r="K27" s="56"/>
    </row>
    <row r="28" spans="1:11" ht="46.5" customHeight="1">
      <c r="A28" s="3">
        <v>9</v>
      </c>
      <c r="B28" s="3">
        <v>600</v>
      </c>
      <c r="C28" s="3">
        <v>60015</v>
      </c>
      <c r="D28" s="3" t="s">
        <v>24</v>
      </c>
      <c r="E28" s="10" t="s">
        <v>327</v>
      </c>
      <c r="F28" s="29">
        <f>138328.7+20000</f>
        <v>158328.7</v>
      </c>
      <c r="G28" s="41" t="s">
        <v>16</v>
      </c>
      <c r="H28" s="26">
        <v>156696.43</v>
      </c>
      <c r="I28" s="41">
        <f>H28/F28</f>
        <v>0.9896906246309102</v>
      </c>
      <c r="J28" s="56" t="s">
        <v>16</v>
      </c>
      <c r="K28" s="57" t="s">
        <v>413</v>
      </c>
    </row>
    <row r="29" spans="1:11" ht="46.5" customHeight="1">
      <c r="A29" s="70" t="s">
        <v>462</v>
      </c>
      <c r="B29" s="70"/>
      <c r="C29" s="70"/>
      <c r="D29" s="70"/>
      <c r="E29" s="70"/>
      <c r="F29" s="70"/>
      <c r="G29" s="70"/>
      <c r="H29" s="70"/>
      <c r="I29" s="70"/>
      <c r="J29" s="56"/>
      <c r="K29" s="56"/>
    </row>
    <row r="30" spans="1:11" ht="45" customHeight="1">
      <c r="A30" s="6">
        <v>10</v>
      </c>
      <c r="B30" s="6">
        <v>600</v>
      </c>
      <c r="C30" s="6">
        <v>60015</v>
      </c>
      <c r="D30" s="6" t="s">
        <v>180</v>
      </c>
      <c r="E30" s="30" t="s">
        <v>328</v>
      </c>
      <c r="F30" s="5">
        <f>58609.5+2800000+1000000+330000+240000-30000</f>
        <v>4398609.5</v>
      </c>
      <c r="G30" s="60"/>
      <c r="H30" s="28">
        <v>4350508.46</v>
      </c>
      <c r="I30" s="42">
        <f>H30/F30</f>
        <v>0.9890644895847199</v>
      </c>
      <c r="J30" s="56" t="s">
        <v>16</v>
      </c>
      <c r="K30" s="57" t="s">
        <v>406</v>
      </c>
    </row>
    <row r="31" spans="1:11" ht="51.75" customHeight="1">
      <c r="A31" s="70" t="s">
        <v>463</v>
      </c>
      <c r="B31" s="70"/>
      <c r="C31" s="70"/>
      <c r="D31" s="70"/>
      <c r="E31" s="70"/>
      <c r="F31" s="70"/>
      <c r="G31" s="70"/>
      <c r="H31" s="70"/>
      <c r="I31" s="70"/>
      <c r="J31" s="56"/>
      <c r="K31" s="56"/>
    </row>
    <row r="32" spans="1:11" ht="44.25" customHeight="1">
      <c r="A32" s="3">
        <v>11</v>
      </c>
      <c r="B32" s="3">
        <v>600</v>
      </c>
      <c r="C32" s="3">
        <v>60015</v>
      </c>
      <c r="D32" s="3" t="s">
        <v>25</v>
      </c>
      <c r="E32" s="10" t="s">
        <v>329</v>
      </c>
      <c r="F32" s="29">
        <f>8500000-2786000+2350000-2410799.41-4161978.07</f>
        <v>1491222.52</v>
      </c>
      <c r="G32" s="41" t="s">
        <v>16</v>
      </c>
      <c r="H32" s="26">
        <f>861523.09+629699.43</f>
        <v>1491222.52</v>
      </c>
      <c r="I32" s="41">
        <f>H32/F32</f>
        <v>1</v>
      </c>
      <c r="J32" s="56" t="s">
        <v>522</v>
      </c>
      <c r="K32" s="57" t="s">
        <v>418</v>
      </c>
    </row>
    <row r="33" spans="1:11" ht="72.75" customHeight="1">
      <c r="A33" s="70" t="s">
        <v>528</v>
      </c>
      <c r="B33" s="70"/>
      <c r="C33" s="70"/>
      <c r="D33" s="70"/>
      <c r="E33" s="70"/>
      <c r="F33" s="70"/>
      <c r="G33" s="70"/>
      <c r="H33" s="70"/>
      <c r="I33" s="70"/>
      <c r="J33" s="56"/>
      <c r="K33" s="56"/>
    </row>
    <row r="34" spans="1:11" ht="40.5" customHeight="1">
      <c r="A34" s="3">
        <v>12</v>
      </c>
      <c r="B34" s="3">
        <v>600</v>
      </c>
      <c r="C34" s="3">
        <v>60015</v>
      </c>
      <c r="D34" s="3" t="s">
        <v>26</v>
      </c>
      <c r="E34" s="10" t="s">
        <v>330</v>
      </c>
      <c r="F34" s="29">
        <v>380000</v>
      </c>
      <c r="G34" s="41" t="s">
        <v>11</v>
      </c>
      <c r="H34" s="26">
        <f>379217.22</f>
        <v>379217.22</v>
      </c>
      <c r="I34" s="41">
        <f>H34/F34</f>
        <v>0.9979400526315789</v>
      </c>
      <c r="J34" s="56" t="s">
        <v>11</v>
      </c>
      <c r="K34" s="57">
        <v>2017</v>
      </c>
    </row>
    <row r="35" spans="1:11" ht="39" customHeight="1">
      <c r="A35" s="70" t="s">
        <v>464</v>
      </c>
      <c r="B35" s="70"/>
      <c r="C35" s="70"/>
      <c r="D35" s="70"/>
      <c r="E35" s="70"/>
      <c r="F35" s="70"/>
      <c r="G35" s="70"/>
      <c r="H35" s="70"/>
      <c r="I35" s="70"/>
      <c r="J35" s="56"/>
      <c r="K35" s="56"/>
    </row>
    <row r="36" spans="1:11" ht="39" customHeight="1">
      <c r="A36" s="6">
        <v>13</v>
      </c>
      <c r="B36" s="6">
        <v>600</v>
      </c>
      <c r="C36" s="6">
        <v>60015</v>
      </c>
      <c r="D36" s="6" t="s">
        <v>181</v>
      </c>
      <c r="E36" s="30" t="s">
        <v>331</v>
      </c>
      <c r="F36" s="5">
        <f>189211.7+2372.06</f>
        <v>191583.76</v>
      </c>
      <c r="G36" s="61"/>
      <c r="H36" s="26">
        <v>191583.76</v>
      </c>
      <c r="I36" s="41">
        <f>H36/F36</f>
        <v>1</v>
      </c>
      <c r="J36" s="56" t="s">
        <v>16</v>
      </c>
      <c r="K36" s="57" t="s">
        <v>413</v>
      </c>
    </row>
    <row r="37" spans="1:11" ht="39" customHeight="1">
      <c r="A37" s="70" t="s">
        <v>529</v>
      </c>
      <c r="B37" s="70"/>
      <c r="C37" s="70"/>
      <c r="D37" s="70"/>
      <c r="E37" s="70"/>
      <c r="F37" s="70"/>
      <c r="G37" s="70"/>
      <c r="H37" s="70"/>
      <c r="I37" s="70"/>
      <c r="J37" s="56"/>
      <c r="K37" s="56"/>
    </row>
    <row r="38" spans="1:11" ht="43.5" customHeight="1">
      <c r="A38" s="6">
        <v>14</v>
      </c>
      <c r="B38" s="6">
        <v>600</v>
      </c>
      <c r="C38" s="6">
        <v>60015</v>
      </c>
      <c r="D38" s="6" t="s">
        <v>27</v>
      </c>
      <c r="E38" s="30" t="s">
        <v>43</v>
      </c>
      <c r="F38" s="5">
        <f>14726769.5+160774-14683719.5</f>
        <v>203824</v>
      </c>
      <c r="G38" s="61"/>
      <c r="H38" s="26">
        <v>203824</v>
      </c>
      <c r="I38" s="41">
        <f>H38/F38</f>
        <v>1</v>
      </c>
      <c r="J38" s="56" t="s">
        <v>516</v>
      </c>
      <c r="K38" s="57" t="s">
        <v>418</v>
      </c>
    </row>
    <row r="39" spans="1:11" ht="73.5" customHeight="1">
      <c r="A39" s="70" t="s">
        <v>530</v>
      </c>
      <c r="B39" s="70"/>
      <c r="C39" s="70"/>
      <c r="D39" s="70"/>
      <c r="E39" s="70"/>
      <c r="F39" s="70"/>
      <c r="G39" s="70"/>
      <c r="H39" s="70"/>
      <c r="I39" s="70"/>
      <c r="J39" s="56"/>
      <c r="K39" s="56"/>
    </row>
    <row r="40" spans="1:11" ht="45.75" customHeight="1">
      <c r="A40" s="3">
        <v>15</v>
      </c>
      <c r="B40" s="3">
        <v>600</v>
      </c>
      <c r="C40" s="3">
        <v>60015</v>
      </c>
      <c r="D40" s="3" t="s">
        <v>28</v>
      </c>
      <c r="E40" s="10" t="s">
        <v>332</v>
      </c>
      <c r="F40" s="29">
        <f>300395-230000</f>
        <v>70395</v>
      </c>
      <c r="G40" s="41" t="s">
        <v>11</v>
      </c>
      <c r="H40" s="26">
        <f>65903.9</f>
        <v>65903.9</v>
      </c>
      <c r="I40" s="41">
        <f>H40/F40</f>
        <v>0.9362014347609915</v>
      </c>
      <c r="J40" s="56" t="s">
        <v>16</v>
      </c>
      <c r="K40" s="57" t="s">
        <v>410</v>
      </c>
    </row>
    <row r="41" spans="1:11" ht="39" customHeight="1">
      <c r="A41" s="70" t="s">
        <v>465</v>
      </c>
      <c r="B41" s="70"/>
      <c r="C41" s="70"/>
      <c r="D41" s="70"/>
      <c r="E41" s="70"/>
      <c r="F41" s="70"/>
      <c r="G41" s="70"/>
      <c r="H41" s="70"/>
      <c r="I41" s="70"/>
      <c r="J41" s="56"/>
      <c r="K41" s="57"/>
    </row>
    <row r="42" spans="1:11" ht="37.5" customHeight="1">
      <c r="A42" s="3">
        <v>16</v>
      </c>
      <c r="B42" s="3">
        <v>600</v>
      </c>
      <c r="C42" s="3">
        <v>60015</v>
      </c>
      <c r="D42" s="3" t="s">
        <v>29</v>
      </c>
      <c r="E42" s="10" t="s">
        <v>333</v>
      </c>
      <c r="F42" s="29">
        <f>667000+1800556.09+40000+12000-825185.72</f>
        <v>1694370.3699999999</v>
      </c>
      <c r="G42" s="41" t="s">
        <v>16</v>
      </c>
      <c r="H42" s="45">
        <v>1683221.6</v>
      </c>
      <c r="I42" s="41">
        <f>H42/F42</f>
        <v>0.9934201103859012</v>
      </c>
      <c r="J42" s="56" t="s">
        <v>16</v>
      </c>
      <c r="K42" s="57" t="s">
        <v>413</v>
      </c>
    </row>
    <row r="43" spans="1:11" ht="41.25" customHeight="1">
      <c r="A43" s="70" t="s">
        <v>608</v>
      </c>
      <c r="B43" s="70"/>
      <c r="C43" s="70"/>
      <c r="D43" s="70"/>
      <c r="E43" s="70"/>
      <c r="F43" s="70"/>
      <c r="G43" s="70"/>
      <c r="H43" s="70"/>
      <c r="I43" s="70"/>
      <c r="J43" s="56"/>
      <c r="K43" s="57"/>
    </row>
    <row r="44" spans="1:11" ht="43.5" customHeight="1">
      <c r="A44" s="6">
        <v>17</v>
      </c>
      <c r="B44" s="6">
        <v>600</v>
      </c>
      <c r="C44" s="6">
        <v>60015</v>
      </c>
      <c r="D44" s="6" t="s">
        <v>182</v>
      </c>
      <c r="E44" s="30" t="s">
        <v>334</v>
      </c>
      <c r="F44" s="5">
        <f>205704.42-20000-14372.06-19519.9</f>
        <v>151812.46000000002</v>
      </c>
      <c r="G44" s="60"/>
      <c r="H44" s="28">
        <v>151812.46</v>
      </c>
      <c r="I44" s="42">
        <f>H44/F44</f>
        <v>0.9999999999999998</v>
      </c>
      <c r="J44" s="56" t="s">
        <v>16</v>
      </c>
      <c r="K44" s="57" t="s">
        <v>412</v>
      </c>
    </row>
    <row r="45" spans="1:11" ht="41.25" customHeight="1">
      <c r="A45" s="70" t="s">
        <v>531</v>
      </c>
      <c r="B45" s="70"/>
      <c r="C45" s="70"/>
      <c r="D45" s="70"/>
      <c r="E45" s="70"/>
      <c r="F45" s="70"/>
      <c r="G45" s="70"/>
      <c r="H45" s="70"/>
      <c r="I45" s="70"/>
      <c r="J45" s="56"/>
      <c r="K45" s="57"/>
    </row>
    <row r="46" spans="1:11" ht="43.5" customHeight="1">
      <c r="A46" s="73" t="s">
        <v>30</v>
      </c>
      <c r="B46" s="73"/>
      <c r="C46" s="73"/>
      <c r="D46" s="73"/>
      <c r="E46" s="73"/>
      <c r="F46" s="14">
        <f>F47+F49+F51+F53+F55+F57+F59+F61+F63+F65+F67+F69+F71+F73+F75+F77+F79+F81+F83+F85+F87+F89+F91+F93</f>
        <v>11043151.01</v>
      </c>
      <c r="G46" s="14" t="e">
        <f>G47+G49+G51+G53+G55+G57+G59+G61+G63+G65+G67+G69+G71+G73+G75+G77+G79+G81+G83+G85+G87+G89+G91+G93</f>
        <v>#VALUE!</v>
      </c>
      <c r="H46" s="14">
        <f>H47+H49+H51+H53+H55+H57+H59+H61+H63+H65+H67+H69+H71+H73+H75+H77+H79+H81+H83+H85+H87+H89+H91+H93</f>
        <v>10870551.170000002</v>
      </c>
      <c r="I46" s="47">
        <f>H46/F46</f>
        <v>0.984370417479241</v>
      </c>
      <c r="J46" s="56"/>
      <c r="K46" s="57"/>
    </row>
    <row r="47" spans="1:11" ht="38.25" customHeight="1">
      <c r="A47" s="3">
        <v>18</v>
      </c>
      <c r="B47" s="3">
        <v>600</v>
      </c>
      <c r="C47" s="3">
        <v>60016</v>
      </c>
      <c r="D47" s="3" t="s">
        <v>31</v>
      </c>
      <c r="E47" s="32" t="s">
        <v>255</v>
      </c>
      <c r="F47" s="29">
        <f>165757.5+11685+100000-97951.63</f>
        <v>179490.87</v>
      </c>
      <c r="G47" s="41" t="s">
        <v>11</v>
      </c>
      <c r="H47" s="26">
        <f>176686.44</f>
        <v>176686.44</v>
      </c>
      <c r="I47" s="41">
        <f>H47/F47</f>
        <v>0.9843756398305942</v>
      </c>
      <c r="J47" s="56" t="s">
        <v>16</v>
      </c>
      <c r="K47" s="57" t="s">
        <v>418</v>
      </c>
    </row>
    <row r="48" spans="1:11" ht="34.5" customHeight="1">
      <c r="A48" s="70" t="s">
        <v>581</v>
      </c>
      <c r="B48" s="70"/>
      <c r="C48" s="70"/>
      <c r="D48" s="70"/>
      <c r="E48" s="70"/>
      <c r="F48" s="70"/>
      <c r="G48" s="70"/>
      <c r="H48" s="70"/>
      <c r="I48" s="70"/>
      <c r="J48" s="56"/>
      <c r="K48" s="57"/>
    </row>
    <row r="49" spans="1:11" ht="45" customHeight="1">
      <c r="A49" s="3">
        <v>19</v>
      </c>
      <c r="B49" s="3">
        <v>600</v>
      </c>
      <c r="C49" s="3">
        <v>60016</v>
      </c>
      <c r="D49" s="3" t="s">
        <v>32</v>
      </c>
      <c r="E49" s="10" t="s">
        <v>33</v>
      </c>
      <c r="F49" s="29">
        <v>101722.07</v>
      </c>
      <c r="G49" s="41" t="s">
        <v>16</v>
      </c>
      <c r="H49" s="26">
        <v>83640</v>
      </c>
      <c r="I49" s="41">
        <f>H49/F49</f>
        <v>0.822240443986246</v>
      </c>
      <c r="J49" s="56" t="s">
        <v>16</v>
      </c>
      <c r="K49" s="57" t="s">
        <v>411</v>
      </c>
    </row>
    <row r="50" spans="1:11" ht="48" customHeight="1">
      <c r="A50" s="70" t="s">
        <v>532</v>
      </c>
      <c r="B50" s="70"/>
      <c r="C50" s="70"/>
      <c r="D50" s="70"/>
      <c r="E50" s="70"/>
      <c r="F50" s="70"/>
      <c r="G50" s="70"/>
      <c r="H50" s="70"/>
      <c r="I50" s="70"/>
      <c r="J50" s="56"/>
      <c r="K50" s="57"/>
    </row>
    <row r="51" spans="1:11" ht="41.25" customHeight="1">
      <c r="A51" s="3">
        <v>20</v>
      </c>
      <c r="B51" s="3">
        <v>600</v>
      </c>
      <c r="C51" s="3">
        <v>60016</v>
      </c>
      <c r="D51" s="3" t="s">
        <v>34</v>
      </c>
      <c r="E51" s="10" t="s">
        <v>211</v>
      </c>
      <c r="F51" s="29">
        <f>750000+109594+480061.7+378113.57</f>
        <v>1717769.27</v>
      </c>
      <c r="G51" s="41" t="s">
        <v>11</v>
      </c>
      <c r="H51" s="26">
        <v>1709012.03</v>
      </c>
      <c r="I51" s="41">
        <f>H51/F51</f>
        <v>0.9949019695759257</v>
      </c>
      <c r="J51" s="56" t="s">
        <v>16</v>
      </c>
      <c r="K51" s="57" t="s">
        <v>410</v>
      </c>
    </row>
    <row r="52" spans="1:11" ht="53.25" customHeight="1">
      <c r="A52" s="80" t="s">
        <v>533</v>
      </c>
      <c r="B52" s="80"/>
      <c r="C52" s="80"/>
      <c r="D52" s="80"/>
      <c r="E52" s="80"/>
      <c r="F52" s="80"/>
      <c r="G52" s="80"/>
      <c r="H52" s="80"/>
      <c r="I52" s="80"/>
      <c r="J52" s="56"/>
      <c r="K52" s="57"/>
    </row>
    <row r="53" spans="1:11" ht="45" customHeight="1">
      <c r="A53" s="3">
        <v>21</v>
      </c>
      <c r="B53" s="3">
        <v>600</v>
      </c>
      <c r="C53" s="3">
        <v>60016</v>
      </c>
      <c r="D53" s="3" t="s">
        <v>35</v>
      </c>
      <c r="E53" s="10" t="s">
        <v>36</v>
      </c>
      <c r="F53" s="29">
        <f>3200000+260869.89-35000-20000+500000-860000+102.04</f>
        <v>3045971.93</v>
      </c>
      <c r="G53" s="41" t="s">
        <v>16</v>
      </c>
      <c r="H53" s="26">
        <v>3045971.93</v>
      </c>
      <c r="I53" s="41">
        <f>H53/F53</f>
        <v>1</v>
      </c>
      <c r="J53" s="56" t="s">
        <v>16</v>
      </c>
      <c r="K53" s="57" t="s">
        <v>521</v>
      </c>
    </row>
    <row r="54" spans="1:11" ht="42.75" customHeight="1">
      <c r="A54" s="70" t="s">
        <v>583</v>
      </c>
      <c r="B54" s="70"/>
      <c r="C54" s="70"/>
      <c r="D54" s="70"/>
      <c r="E54" s="70"/>
      <c r="F54" s="70"/>
      <c r="G54" s="70"/>
      <c r="H54" s="70"/>
      <c r="I54" s="70"/>
      <c r="J54" s="56"/>
      <c r="K54" s="57"/>
    </row>
    <row r="55" spans="1:11" ht="45" customHeight="1">
      <c r="A55" s="3">
        <v>22</v>
      </c>
      <c r="B55" s="3">
        <v>600</v>
      </c>
      <c r="C55" s="3">
        <v>60016</v>
      </c>
      <c r="D55" s="3" t="s">
        <v>37</v>
      </c>
      <c r="E55" s="10" t="s">
        <v>38</v>
      </c>
      <c r="F55" s="29">
        <f>518000-3839.96-102460</f>
        <v>411700.04</v>
      </c>
      <c r="G55" s="41" t="s">
        <v>16</v>
      </c>
      <c r="H55" s="26">
        <v>410992.98</v>
      </c>
      <c r="I55" s="41">
        <f>H55/F55</f>
        <v>0.9982825845729818</v>
      </c>
      <c r="J55" s="56" t="s">
        <v>414</v>
      </c>
      <c r="K55" s="57" t="s">
        <v>520</v>
      </c>
    </row>
    <row r="56" spans="1:11" ht="49.5" customHeight="1">
      <c r="A56" s="70" t="s">
        <v>534</v>
      </c>
      <c r="B56" s="70"/>
      <c r="C56" s="70"/>
      <c r="D56" s="70"/>
      <c r="E56" s="70"/>
      <c r="F56" s="70"/>
      <c r="G56" s="70"/>
      <c r="H56" s="70"/>
      <c r="I56" s="70"/>
      <c r="J56" s="56"/>
      <c r="K56" s="57"/>
    </row>
    <row r="57" spans="1:11" ht="36" customHeight="1">
      <c r="A57" s="3">
        <v>23</v>
      </c>
      <c r="B57" s="3">
        <v>600</v>
      </c>
      <c r="C57" s="3">
        <v>60016</v>
      </c>
      <c r="D57" s="3" t="s">
        <v>39</v>
      </c>
      <c r="E57" s="10" t="s">
        <v>40</v>
      </c>
      <c r="F57" s="29">
        <v>50000</v>
      </c>
      <c r="G57" s="41" t="s">
        <v>11</v>
      </c>
      <c r="H57" s="26">
        <v>0</v>
      </c>
      <c r="I57" s="41">
        <f>H57/F57</f>
        <v>0</v>
      </c>
      <c r="J57" s="56" t="s">
        <v>16</v>
      </c>
      <c r="K57" s="57" t="s">
        <v>410</v>
      </c>
    </row>
    <row r="58" spans="1:11" ht="54.75" customHeight="1">
      <c r="A58" s="70" t="s">
        <v>535</v>
      </c>
      <c r="B58" s="70"/>
      <c r="C58" s="70"/>
      <c r="D58" s="70"/>
      <c r="E58" s="70"/>
      <c r="F58" s="70"/>
      <c r="G58" s="70"/>
      <c r="H58" s="70"/>
      <c r="I58" s="70"/>
      <c r="J58" s="56"/>
      <c r="K58" s="57"/>
    </row>
    <row r="59" spans="1:11" ht="46.5" customHeight="1">
      <c r="A59" s="6">
        <v>24</v>
      </c>
      <c r="B59" s="6">
        <v>600</v>
      </c>
      <c r="C59" s="6">
        <v>60016</v>
      </c>
      <c r="D59" s="6" t="s">
        <v>41</v>
      </c>
      <c r="E59" s="30" t="s">
        <v>42</v>
      </c>
      <c r="F59" s="5">
        <f>171431.2-62534.4-65000</f>
        <v>43896.80000000002</v>
      </c>
      <c r="G59" s="42" t="s">
        <v>16</v>
      </c>
      <c r="H59" s="48">
        <v>0</v>
      </c>
      <c r="I59" s="42">
        <f>H59/F59</f>
        <v>0</v>
      </c>
      <c r="J59" s="56" t="s">
        <v>16</v>
      </c>
      <c r="K59" s="57" t="s">
        <v>415</v>
      </c>
    </row>
    <row r="60" spans="1:11" ht="46.5" customHeight="1">
      <c r="A60" s="72" t="s">
        <v>536</v>
      </c>
      <c r="B60" s="72"/>
      <c r="C60" s="72"/>
      <c r="D60" s="72"/>
      <c r="E60" s="72"/>
      <c r="F60" s="72"/>
      <c r="G60" s="72"/>
      <c r="H60" s="72"/>
      <c r="I60" s="72"/>
      <c r="J60" s="56"/>
      <c r="K60" s="57"/>
    </row>
    <row r="61" spans="1:11" ht="44.25" customHeight="1">
      <c r="A61" s="9">
        <v>25</v>
      </c>
      <c r="B61" s="9">
        <v>600</v>
      </c>
      <c r="C61" s="9">
        <v>60016</v>
      </c>
      <c r="D61" s="9" t="s">
        <v>271</v>
      </c>
      <c r="E61" s="7" t="s">
        <v>272</v>
      </c>
      <c r="F61" s="8">
        <v>5490</v>
      </c>
      <c r="G61" s="17"/>
      <c r="H61" s="28">
        <v>5485.31</v>
      </c>
      <c r="I61" s="42">
        <f>H61/F61</f>
        <v>0.9991457194899819</v>
      </c>
      <c r="J61" s="56" t="s">
        <v>11</v>
      </c>
      <c r="K61" s="57">
        <v>2017</v>
      </c>
    </row>
    <row r="62" spans="1:11" ht="44.25" customHeight="1">
      <c r="A62" s="72" t="s">
        <v>582</v>
      </c>
      <c r="B62" s="72"/>
      <c r="C62" s="72"/>
      <c r="D62" s="72"/>
      <c r="E62" s="72"/>
      <c r="F62" s="72"/>
      <c r="G62" s="72"/>
      <c r="H62" s="72"/>
      <c r="I62" s="72"/>
      <c r="J62" s="56"/>
      <c r="K62" s="57"/>
    </row>
    <row r="63" spans="1:11" ht="39.75" customHeight="1">
      <c r="A63" s="9">
        <v>26</v>
      </c>
      <c r="B63" s="9">
        <v>600</v>
      </c>
      <c r="C63" s="9">
        <v>60016</v>
      </c>
      <c r="D63" s="9" t="s">
        <v>183</v>
      </c>
      <c r="E63" s="33" t="s">
        <v>184</v>
      </c>
      <c r="F63" s="8">
        <f>233190.3-1199.13</f>
        <v>231991.16999999998</v>
      </c>
      <c r="G63" s="62"/>
      <c r="H63" s="49">
        <v>231387.45</v>
      </c>
      <c r="I63" s="43">
        <f>H63/F63</f>
        <v>0.9973976595747158</v>
      </c>
      <c r="J63" s="56" t="s">
        <v>16</v>
      </c>
      <c r="K63" s="57" t="s">
        <v>410</v>
      </c>
    </row>
    <row r="64" spans="1:11" ht="39.75" customHeight="1">
      <c r="A64" s="72" t="s">
        <v>472</v>
      </c>
      <c r="B64" s="72"/>
      <c r="C64" s="72"/>
      <c r="D64" s="72"/>
      <c r="E64" s="72"/>
      <c r="F64" s="72"/>
      <c r="G64" s="72"/>
      <c r="H64" s="72"/>
      <c r="I64" s="72"/>
      <c r="J64" s="56"/>
      <c r="K64" s="57"/>
    </row>
    <row r="65" spans="1:11" ht="39.75" customHeight="1">
      <c r="A65" s="9">
        <v>27</v>
      </c>
      <c r="B65" s="9">
        <v>600</v>
      </c>
      <c r="C65" s="9">
        <v>60016</v>
      </c>
      <c r="D65" s="9" t="s">
        <v>273</v>
      </c>
      <c r="E65" s="7" t="s">
        <v>274</v>
      </c>
      <c r="F65" s="8">
        <f>25000-9901.5</f>
        <v>15098.5</v>
      </c>
      <c r="G65" s="62"/>
      <c r="H65" s="49">
        <v>9901.5</v>
      </c>
      <c r="I65" s="43">
        <f>H65/F65</f>
        <v>0.6557936218829685</v>
      </c>
      <c r="J65" s="56" t="s">
        <v>16</v>
      </c>
      <c r="K65" s="57" t="s">
        <v>416</v>
      </c>
    </row>
    <row r="66" spans="1:11" ht="36.75" customHeight="1">
      <c r="A66" s="72" t="s">
        <v>609</v>
      </c>
      <c r="B66" s="72"/>
      <c r="C66" s="72"/>
      <c r="D66" s="72"/>
      <c r="E66" s="72"/>
      <c r="F66" s="72"/>
      <c r="G66" s="72"/>
      <c r="H66" s="72"/>
      <c r="I66" s="72"/>
      <c r="J66" s="56"/>
      <c r="K66" s="57"/>
    </row>
    <row r="67" spans="1:11" ht="39.75" customHeight="1">
      <c r="A67" s="9">
        <v>28</v>
      </c>
      <c r="B67" s="9">
        <v>600</v>
      </c>
      <c r="C67" s="9">
        <v>60016</v>
      </c>
      <c r="D67" s="9" t="s">
        <v>44</v>
      </c>
      <c r="E67" s="7" t="s">
        <v>503</v>
      </c>
      <c r="F67" s="8">
        <f>20000-10000</f>
        <v>10000</v>
      </c>
      <c r="G67" s="62"/>
      <c r="H67" s="49">
        <v>4674</v>
      </c>
      <c r="I67" s="43">
        <f>H67/F67</f>
        <v>0.4674</v>
      </c>
      <c r="J67" s="56" t="s">
        <v>16</v>
      </c>
      <c r="K67" s="57" t="s">
        <v>416</v>
      </c>
    </row>
    <row r="68" spans="1:11" ht="48.75" customHeight="1">
      <c r="A68" s="72" t="s">
        <v>504</v>
      </c>
      <c r="B68" s="72"/>
      <c r="C68" s="72"/>
      <c r="D68" s="72"/>
      <c r="E68" s="72"/>
      <c r="F68" s="72"/>
      <c r="G68" s="72"/>
      <c r="H68" s="72"/>
      <c r="I68" s="72"/>
      <c r="J68" s="56"/>
      <c r="K68" s="57"/>
    </row>
    <row r="69" spans="1:11" ht="49.5" customHeight="1">
      <c r="A69" s="34">
        <v>29</v>
      </c>
      <c r="B69" s="34">
        <v>600</v>
      </c>
      <c r="C69" s="34">
        <v>60016</v>
      </c>
      <c r="D69" s="34" t="s">
        <v>212</v>
      </c>
      <c r="E69" s="35" t="s">
        <v>213</v>
      </c>
      <c r="F69" s="36">
        <f>800000-500000-200000-66420</f>
        <v>33580</v>
      </c>
      <c r="G69" s="60"/>
      <c r="H69" s="28">
        <v>9410.5</v>
      </c>
      <c r="I69" s="42">
        <f>H69/F69</f>
        <v>0.2802412150089339</v>
      </c>
      <c r="J69" s="56" t="s">
        <v>16</v>
      </c>
      <c r="K69" s="57" t="s">
        <v>416</v>
      </c>
    </row>
    <row r="70" spans="1:11" ht="85.5" customHeight="1">
      <c r="A70" s="71" t="s">
        <v>584</v>
      </c>
      <c r="B70" s="71"/>
      <c r="C70" s="71"/>
      <c r="D70" s="71"/>
      <c r="E70" s="71"/>
      <c r="F70" s="71"/>
      <c r="G70" s="71"/>
      <c r="H70" s="71"/>
      <c r="I70" s="71"/>
      <c r="J70" s="56"/>
      <c r="K70" s="57"/>
    </row>
    <row r="71" spans="1:11" ht="45" customHeight="1">
      <c r="A71" s="11">
        <v>30</v>
      </c>
      <c r="B71" s="11">
        <v>600</v>
      </c>
      <c r="C71" s="11">
        <v>60016</v>
      </c>
      <c r="D71" s="11" t="s">
        <v>214</v>
      </c>
      <c r="E71" s="12" t="s">
        <v>256</v>
      </c>
      <c r="F71" s="13">
        <f>2500000-2495080</f>
        <v>4920</v>
      </c>
      <c r="G71" s="60"/>
      <c r="H71" s="28">
        <v>4920</v>
      </c>
      <c r="I71" s="42">
        <f>H71/F71</f>
        <v>1</v>
      </c>
      <c r="J71" s="56" t="s">
        <v>16</v>
      </c>
      <c r="K71" s="57" t="s">
        <v>416</v>
      </c>
    </row>
    <row r="72" spans="1:11" ht="45" customHeight="1">
      <c r="A72" s="71" t="s">
        <v>574</v>
      </c>
      <c r="B72" s="71"/>
      <c r="C72" s="71"/>
      <c r="D72" s="71"/>
      <c r="E72" s="71"/>
      <c r="F72" s="71"/>
      <c r="G72" s="71"/>
      <c r="H72" s="71"/>
      <c r="I72" s="71"/>
      <c r="J72" s="56"/>
      <c r="K72" s="57"/>
    </row>
    <row r="73" spans="1:11" ht="53.25" customHeight="1">
      <c r="A73" s="3">
        <v>31</v>
      </c>
      <c r="B73" s="3">
        <v>600</v>
      </c>
      <c r="C73" s="3">
        <v>60016</v>
      </c>
      <c r="D73" s="3" t="s">
        <v>45</v>
      </c>
      <c r="E73" s="10" t="s">
        <v>46</v>
      </c>
      <c r="F73" s="29">
        <f>220000+17471.18</f>
        <v>237471.18</v>
      </c>
      <c r="G73" s="41" t="s">
        <v>16</v>
      </c>
      <c r="H73" s="26">
        <v>237149.59</v>
      </c>
      <c r="I73" s="41">
        <f>H73/F73</f>
        <v>0.9986457725101632</v>
      </c>
      <c r="J73" s="56" t="s">
        <v>16</v>
      </c>
      <c r="K73" s="57" t="s">
        <v>419</v>
      </c>
    </row>
    <row r="74" spans="1:11" ht="54" customHeight="1">
      <c r="A74" s="72" t="s">
        <v>585</v>
      </c>
      <c r="B74" s="72"/>
      <c r="C74" s="72"/>
      <c r="D74" s="72"/>
      <c r="E74" s="72"/>
      <c r="F74" s="72"/>
      <c r="G74" s="72"/>
      <c r="H74" s="72"/>
      <c r="I74" s="72"/>
      <c r="J74" s="56"/>
      <c r="K74" s="57"/>
    </row>
    <row r="75" spans="1:11" ht="45" customHeight="1">
      <c r="A75" s="9">
        <v>32</v>
      </c>
      <c r="B75" s="9">
        <v>600</v>
      </c>
      <c r="C75" s="9">
        <v>60016</v>
      </c>
      <c r="D75" s="9" t="s">
        <v>47</v>
      </c>
      <c r="E75" s="33" t="s">
        <v>335</v>
      </c>
      <c r="F75" s="8">
        <f>916213.82+250000-745399.75</f>
        <v>420814.06999999983</v>
      </c>
      <c r="G75" s="62"/>
      <c r="H75" s="49">
        <v>420814.07</v>
      </c>
      <c r="I75" s="43">
        <f>H75/F75</f>
        <v>1.0000000000000004</v>
      </c>
      <c r="J75" s="56" t="s">
        <v>16</v>
      </c>
      <c r="K75" s="57" t="s">
        <v>416</v>
      </c>
    </row>
    <row r="76" spans="1:11" ht="39.75" customHeight="1">
      <c r="A76" s="72" t="s">
        <v>537</v>
      </c>
      <c r="B76" s="72"/>
      <c r="C76" s="72"/>
      <c r="D76" s="72"/>
      <c r="E76" s="72"/>
      <c r="F76" s="72"/>
      <c r="G76" s="72"/>
      <c r="H76" s="72"/>
      <c r="I76" s="72"/>
      <c r="J76" s="56"/>
      <c r="K76" s="57"/>
    </row>
    <row r="77" spans="1:11" ht="39.75" customHeight="1">
      <c r="A77" s="3">
        <v>33</v>
      </c>
      <c r="B77" s="3">
        <v>600</v>
      </c>
      <c r="C77" s="3">
        <v>60016</v>
      </c>
      <c r="D77" s="3" t="s">
        <v>49</v>
      </c>
      <c r="E77" s="10" t="s">
        <v>337</v>
      </c>
      <c r="F77" s="29">
        <f>1700000-30000</f>
        <v>1670000</v>
      </c>
      <c r="G77" s="41" t="s">
        <v>16</v>
      </c>
      <c r="H77" s="45">
        <v>1668382.57</v>
      </c>
      <c r="I77" s="41">
        <f>H77/F77</f>
        <v>0.9990314790419162</v>
      </c>
      <c r="J77" s="56" t="s">
        <v>16</v>
      </c>
      <c r="K77" s="57" t="s">
        <v>413</v>
      </c>
    </row>
    <row r="78" spans="1:11" ht="39" customHeight="1">
      <c r="A78" s="70" t="s">
        <v>466</v>
      </c>
      <c r="B78" s="70"/>
      <c r="C78" s="70"/>
      <c r="D78" s="70"/>
      <c r="E78" s="70"/>
      <c r="F78" s="70"/>
      <c r="G78" s="70"/>
      <c r="H78" s="70"/>
      <c r="I78" s="70"/>
      <c r="J78" s="56"/>
      <c r="K78" s="57"/>
    </row>
    <row r="79" spans="1:11" ht="39" customHeight="1">
      <c r="A79" s="6">
        <v>34</v>
      </c>
      <c r="B79" s="6">
        <v>600</v>
      </c>
      <c r="C79" s="6">
        <v>60016</v>
      </c>
      <c r="D79" s="6" t="s">
        <v>50</v>
      </c>
      <c r="E79" s="30" t="s">
        <v>338</v>
      </c>
      <c r="F79" s="5">
        <f>490000-144500+86938-86092.5</f>
        <v>346345.5</v>
      </c>
      <c r="G79" s="60"/>
      <c r="H79" s="28">
        <f>346242.18</f>
        <v>346242.18</v>
      </c>
      <c r="I79" s="42">
        <f>H79/F79</f>
        <v>0.9997016851669792</v>
      </c>
      <c r="J79" s="56" t="s">
        <v>16</v>
      </c>
      <c r="K79" s="57" t="s">
        <v>416</v>
      </c>
    </row>
    <row r="80" spans="1:11" ht="39" customHeight="1">
      <c r="A80" s="70" t="s">
        <v>467</v>
      </c>
      <c r="B80" s="70"/>
      <c r="C80" s="70"/>
      <c r="D80" s="70"/>
      <c r="E80" s="70"/>
      <c r="F80" s="70"/>
      <c r="G80" s="70"/>
      <c r="H80" s="70"/>
      <c r="I80" s="70"/>
      <c r="J80" s="56"/>
      <c r="K80" s="57"/>
    </row>
    <row r="81" spans="1:11" ht="44.25" customHeight="1">
      <c r="A81" s="6">
        <v>35</v>
      </c>
      <c r="B81" s="6">
        <v>600</v>
      </c>
      <c r="C81" s="6">
        <v>60016</v>
      </c>
      <c r="D81" s="6" t="s">
        <v>51</v>
      </c>
      <c r="E81" s="30" t="s">
        <v>52</v>
      </c>
      <c r="F81" s="5">
        <v>100000</v>
      </c>
      <c r="G81" s="60"/>
      <c r="H81" s="28">
        <v>95694.5</v>
      </c>
      <c r="I81" s="42">
        <f>H81/F81</f>
        <v>0.956945</v>
      </c>
      <c r="J81" s="56" t="s">
        <v>16</v>
      </c>
      <c r="K81" s="57" t="s">
        <v>411</v>
      </c>
    </row>
    <row r="82" spans="1:11" ht="52.5" customHeight="1">
      <c r="A82" s="70" t="s">
        <v>501</v>
      </c>
      <c r="B82" s="70"/>
      <c r="C82" s="70"/>
      <c r="D82" s="70"/>
      <c r="E82" s="70"/>
      <c r="F82" s="70"/>
      <c r="G82" s="70"/>
      <c r="H82" s="70"/>
      <c r="I82" s="70"/>
      <c r="J82" s="56"/>
      <c r="K82" s="57"/>
    </row>
    <row r="83" spans="1:11" ht="39.75" customHeight="1">
      <c r="A83" s="9">
        <v>36</v>
      </c>
      <c r="B83" s="6">
        <v>600</v>
      </c>
      <c r="C83" s="6">
        <v>60016</v>
      </c>
      <c r="D83" s="6" t="s">
        <v>53</v>
      </c>
      <c r="E83" s="4" t="s">
        <v>339</v>
      </c>
      <c r="F83" s="5">
        <f>700000+662456.25-39863.54</f>
        <v>1322592.71</v>
      </c>
      <c r="G83" s="42" t="s">
        <v>16</v>
      </c>
      <c r="H83" s="28">
        <v>1322592.71</v>
      </c>
      <c r="I83" s="42">
        <f>H83/F83</f>
        <v>1</v>
      </c>
      <c r="J83" s="56" t="s">
        <v>414</v>
      </c>
      <c r="K83" s="57" t="s">
        <v>413</v>
      </c>
    </row>
    <row r="84" spans="1:11" ht="36.75" customHeight="1">
      <c r="A84" s="72" t="s">
        <v>468</v>
      </c>
      <c r="B84" s="72"/>
      <c r="C84" s="72"/>
      <c r="D84" s="72"/>
      <c r="E84" s="72"/>
      <c r="F84" s="72"/>
      <c r="G84" s="72"/>
      <c r="H84" s="72"/>
      <c r="I84" s="72"/>
      <c r="J84" s="56"/>
      <c r="K84" s="57"/>
    </row>
    <row r="85" spans="1:11" ht="35.25" customHeight="1">
      <c r="A85" s="3">
        <v>37</v>
      </c>
      <c r="B85" s="3">
        <v>600</v>
      </c>
      <c r="C85" s="3">
        <v>60016</v>
      </c>
      <c r="D85" s="3" t="s">
        <v>54</v>
      </c>
      <c r="E85" s="10" t="s">
        <v>340</v>
      </c>
      <c r="F85" s="29">
        <f>6276141+323859-6180000</f>
        <v>420000</v>
      </c>
      <c r="G85" s="41" t="s">
        <v>16</v>
      </c>
      <c r="H85" s="26">
        <v>415360.81</v>
      </c>
      <c r="I85" s="41">
        <f>H85/F85</f>
        <v>0.9889543095238095</v>
      </c>
      <c r="J85" s="56" t="s">
        <v>516</v>
      </c>
      <c r="K85" s="57" t="s">
        <v>410</v>
      </c>
    </row>
    <row r="86" spans="1:11" ht="50.25" customHeight="1">
      <c r="A86" s="87" t="s">
        <v>506</v>
      </c>
      <c r="B86" s="87"/>
      <c r="C86" s="87"/>
      <c r="D86" s="87"/>
      <c r="E86" s="87"/>
      <c r="F86" s="87"/>
      <c r="G86" s="87"/>
      <c r="H86" s="87"/>
      <c r="I86" s="87"/>
      <c r="J86" s="56"/>
      <c r="K86" s="57"/>
    </row>
    <row r="87" spans="1:11" ht="41.25" customHeight="1">
      <c r="A87" s="3">
        <v>38</v>
      </c>
      <c r="B87" s="3">
        <v>600</v>
      </c>
      <c r="C87" s="3">
        <v>60016</v>
      </c>
      <c r="D87" s="3" t="s">
        <v>55</v>
      </c>
      <c r="E87" s="10" t="s">
        <v>341</v>
      </c>
      <c r="F87" s="29">
        <f>95900-18086.61</f>
        <v>77813.39</v>
      </c>
      <c r="G87" s="41" t="s">
        <v>16</v>
      </c>
      <c r="H87" s="26">
        <v>77813.39</v>
      </c>
      <c r="I87" s="41">
        <f>H87/F87</f>
        <v>1</v>
      </c>
      <c r="J87" s="56" t="s">
        <v>16</v>
      </c>
      <c r="K87" s="57" t="s">
        <v>406</v>
      </c>
    </row>
    <row r="88" spans="1:11" ht="36.75" customHeight="1">
      <c r="A88" s="70" t="s">
        <v>469</v>
      </c>
      <c r="B88" s="70"/>
      <c r="C88" s="70"/>
      <c r="D88" s="70"/>
      <c r="E88" s="70"/>
      <c r="F88" s="70"/>
      <c r="G88" s="70"/>
      <c r="H88" s="70"/>
      <c r="I88" s="70"/>
      <c r="J88" s="56"/>
      <c r="K88" s="57"/>
    </row>
    <row r="89" spans="1:11" ht="49.5" customHeight="1">
      <c r="A89" s="6">
        <v>39</v>
      </c>
      <c r="B89" s="6">
        <v>600</v>
      </c>
      <c r="C89" s="6">
        <v>60016</v>
      </c>
      <c r="D89" s="6" t="s">
        <v>258</v>
      </c>
      <c r="E89" s="16" t="s">
        <v>342</v>
      </c>
      <c r="F89" s="5">
        <f>50000-32607.51</f>
        <v>17392.49</v>
      </c>
      <c r="G89" s="60"/>
      <c r="H89" s="28">
        <v>17392.49</v>
      </c>
      <c r="I89" s="42">
        <f>H89/F89</f>
        <v>1</v>
      </c>
      <c r="J89" s="56" t="s">
        <v>11</v>
      </c>
      <c r="K89" s="57">
        <v>2017</v>
      </c>
    </row>
    <row r="90" spans="1:11" ht="41.25" customHeight="1">
      <c r="A90" s="70" t="s">
        <v>470</v>
      </c>
      <c r="B90" s="70"/>
      <c r="C90" s="70"/>
      <c r="D90" s="70"/>
      <c r="E90" s="70"/>
      <c r="F90" s="70"/>
      <c r="G90" s="70"/>
      <c r="H90" s="70"/>
      <c r="I90" s="70"/>
      <c r="J90" s="56"/>
      <c r="K90" s="57"/>
    </row>
    <row r="91" spans="1:11" ht="46.5" customHeight="1">
      <c r="A91" s="3">
        <v>40</v>
      </c>
      <c r="B91" s="3">
        <v>600</v>
      </c>
      <c r="C91" s="3">
        <v>60016</v>
      </c>
      <c r="D91" s="3" t="s">
        <v>56</v>
      </c>
      <c r="E91" s="10" t="s">
        <v>343</v>
      </c>
      <c r="F91" s="29">
        <f>615646+181899.92-30000-328454.9</f>
        <v>439091.02</v>
      </c>
      <c r="G91" s="41" t="s">
        <v>16</v>
      </c>
      <c r="H91" s="26">
        <v>439091.02</v>
      </c>
      <c r="I91" s="41">
        <f>H91/F91</f>
        <v>1</v>
      </c>
      <c r="J91" s="56" t="s">
        <v>16</v>
      </c>
      <c r="K91" s="57" t="s">
        <v>410</v>
      </c>
    </row>
    <row r="92" spans="1:11" ht="42.75" customHeight="1">
      <c r="A92" s="70" t="s">
        <v>538</v>
      </c>
      <c r="B92" s="70"/>
      <c r="C92" s="70"/>
      <c r="D92" s="70"/>
      <c r="E92" s="70"/>
      <c r="F92" s="70"/>
      <c r="G92" s="70"/>
      <c r="H92" s="70"/>
      <c r="I92" s="70"/>
      <c r="J92" s="56"/>
      <c r="K92" s="57"/>
    </row>
    <row r="93" spans="1:11" ht="46.5" customHeight="1">
      <c r="A93" s="3">
        <v>41</v>
      </c>
      <c r="B93" s="3">
        <v>600</v>
      </c>
      <c r="C93" s="3">
        <v>60016</v>
      </c>
      <c r="D93" s="3" t="s">
        <v>227</v>
      </c>
      <c r="E93" s="10" t="s">
        <v>344</v>
      </c>
      <c r="F93" s="29">
        <f>200000-60000</f>
        <v>140000</v>
      </c>
      <c r="G93" s="60"/>
      <c r="H93" s="28">
        <v>137935.7</v>
      </c>
      <c r="I93" s="42">
        <f>H93/F93</f>
        <v>0.9852550000000001</v>
      </c>
      <c r="J93" s="56" t="s">
        <v>16</v>
      </c>
      <c r="K93" s="57" t="s">
        <v>419</v>
      </c>
    </row>
    <row r="94" spans="1:11" ht="46.5" customHeight="1">
      <c r="A94" s="72" t="s">
        <v>578</v>
      </c>
      <c r="B94" s="72"/>
      <c r="C94" s="72"/>
      <c r="D94" s="72"/>
      <c r="E94" s="72"/>
      <c r="F94" s="72"/>
      <c r="G94" s="72"/>
      <c r="H94" s="72"/>
      <c r="I94" s="72"/>
      <c r="J94" s="56"/>
      <c r="K94" s="57"/>
    </row>
    <row r="95" spans="1:11" ht="39.75" customHeight="1">
      <c r="A95" s="73" t="s">
        <v>185</v>
      </c>
      <c r="B95" s="73"/>
      <c r="C95" s="73"/>
      <c r="D95" s="73"/>
      <c r="E95" s="73"/>
      <c r="F95" s="14">
        <f>F96</f>
        <v>13530</v>
      </c>
      <c r="G95" s="14">
        <f>G96</f>
        <v>0</v>
      </c>
      <c r="H95" s="14">
        <f>H96</f>
        <v>13530</v>
      </c>
      <c r="I95" s="47">
        <f>H95/F95</f>
        <v>1</v>
      </c>
      <c r="J95" s="56"/>
      <c r="K95" s="57"/>
    </row>
    <row r="96" spans="1:11" ht="45" customHeight="1">
      <c r="A96" s="6">
        <v>42</v>
      </c>
      <c r="B96" s="6">
        <v>600</v>
      </c>
      <c r="C96" s="6">
        <v>60017</v>
      </c>
      <c r="D96" s="6" t="s">
        <v>186</v>
      </c>
      <c r="E96" s="30" t="s">
        <v>187</v>
      </c>
      <c r="F96" s="5">
        <v>13530</v>
      </c>
      <c r="G96" s="60"/>
      <c r="H96" s="28">
        <v>13530</v>
      </c>
      <c r="I96" s="42">
        <f>H96/F96</f>
        <v>1</v>
      </c>
      <c r="J96" s="56" t="s">
        <v>16</v>
      </c>
      <c r="K96" s="57" t="s">
        <v>410</v>
      </c>
    </row>
    <row r="97" spans="1:11" ht="45" customHeight="1">
      <c r="A97" s="70" t="s">
        <v>473</v>
      </c>
      <c r="B97" s="70"/>
      <c r="C97" s="70"/>
      <c r="D97" s="70"/>
      <c r="E97" s="70"/>
      <c r="F97" s="70"/>
      <c r="G97" s="70"/>
      <c r="H97" s="70"/>
      <c r="I97" s="70"/>
      <c r="J97" s="56"/>
      <c r="K97" s="57"/>
    </row>
    <row r="98" spans="1:11" ht="45" customHeight="1">
      <c r="A98" s="73" t="s">
        <v>393</v>
      </c>
      <c r="B98" s="73"/>
      <c r="C98" s="73"/>
      <c r="D98" s="73"/>
      <c r="E98" s="73"/>
      <c r="F98" s="14">
        <f>F99</f>
        <v>6969918.01</v>
      </c>
      <c r="G98" s="14">
        <f>G99</f>
        <v>0</v>
      </c>
      <c r="H98" s="14">
        <f>H99</f>
        <v>6969918.01</v>
      </c>
      <c r="I98" s="47">
        <f>H98/F98</f>
        <v>1</v>
      </c>
      <c r="J98" s="56"/>
      <c r="K98" s="57"/>
    </row>
    <row r="99" spans="1:11" ht="45" customHeight="1">
      <c r="A99" s="3">
        <v>43</v>
      </c>
      <c r="B99" s="3">
        <v>600</v>
      </c>
      <c r="C99" s="3">
        <v>60095</v>
      </c>
      <c r="D99" s="3" t="s">
        <v>48</v>
      </c>
      <c r="E99" s="10" t="s">
        <v>336</v>
      </c>
      <c r="F99" s="29">
        <f>9355850.77-2385932.76</f>
        <v>6969918.01</v>
      </c>
      <c r="G99" s="60"/>
      <c r="H99" s="28">
        <v>6969918.01</v>
      </c>
      <c r="I99" s="42">
        <f>H99/F99</f>
        <v>1</v>
      </c>
      <c r="J99" s="56" t="s">
        <v>517</v>
      </c>
      <c r="K99" s="57" t="s">
        <v>418</v>
      </c>
    </row>
    <row r="100" spans="1:11" ht="110.25" customHeight="1">
      <c r="A100" s="70" t="s">
        <v>586</v>
      </c>
      <c r="B100" s="70"/>
      <c r="C100" s="70"/>
      <c r="D100" s="70"/>
      <c r="E100" s="70"/>
      <c r="F100" s="70"/>
      <c r="G100" s="70"/>
      <c r="H100" s="70"/>
      <c r="I100" s="70"/>
      <c r="J100" s="56"/>
      <c r="K100" s="57"/>
    </row>
    <row r="101" spans="1:11" ht="45" customHeight="1">
      <c r="A101" s="73" t="s">
        <v>57</v>
      </c>
      <c r="B101" s="73"/>
      <c r="C101" s="73"/>
      <c r="D101" s="73"/>
      <c r="E101" s="73"/>
      <c r="F101" s="14">
        <f>F102+F111+F116</f>
        <v>14025954.959999999</v>
      </c>
      <c r="G101" s="14" t="e">
        <f>G102+G111+G116</f>
        <v>#VALUE!</v>
      </c>
      <c r="H101" s="14">
        <f>H102+H111+H116</f>
        <v>12053176.18</v>
      </c>
      <c r="I101" s="46">
        <f>H101/F101</f>
        <v>0.8593479883811063</v>
      </c>
      <c r="J101" s="56"/>
      <c r="K101" s="57"/>
    </row>
    <row r="102" spans="1:11" ht="45" customHeight="1">
      <c r="A102" s="73" t="s">
        <v>58</v>
      </c>
      <c r="B102" s="73"/>
      <c r="C102" s="73"/>
      <c r="D102" s="73"/>
      <c r="E102" s="73"/>
      <c r="F102" s="14">
        <f>F103+F105+F109+F107</f>
        <v>5857531.6</v>
      </c>
      <c r="G102" s="14" t="e">
        <f>G103+G105+G109+G107</f>
        <v>#VALUE!</v>
      </c>
      <c r="H102" s="14">
        <f>H103+H105+H109+H107</f>
        <v>4027947.17</v>
      </c>
      <c r="I102" s="47">
        <f>H102/F102</f>
        <v>0.6876526573070473</v>
      </c>
      <c r="J102" s="56"/>
      <c r="K102" s="57"/>
    </row>
    <row r="103" spans="1:11" ht="38.25" customHeight="1">
      <c r="A103" s="3">
        <v>44</v>
      </c>
      <c r="B103" s="3">
        <v>700</v>
      </c>
      <c r="C103" s="3">
        <v>70005</v>
      </c>
      <c r="D103" s="3" t="s">
        <v>59</v>
      </c>
      <c r="E103" s="10" t="s">
        <v>60</v>
      </c>
      <c r="F103" s="29">
        <f>1450000+3500000-2350000+2000000</f>
        <v>4600000</v>
      </c>
      <c r="G103" s="41" t="s">
        <v>16</v>
      </c>
      <c r="H103" s="26">
        <v>3649363.57</v>
      </c>
      <c r="I103" s="41">
        <f>H103/F103</f>
        <v>0.7933399065217391</v>
      </c>
      <c r="J103" s="56" t="s">
        <v>16</v>
      </c>
      <c r="K103" s="57" t="s">
        <v>413</v>
      </c>
    </row>
    <row r="104" spans="1:11" ht="48.75" customHeight="1">
      <c r="A104" s="79" t="s">
        <v>587</v>
      </c>
      <c r="B104" s="70"/>
      <c r="C104" s="70"/>
      <c r="D104" s="70"/>
      <c r="E104" s="70"/>
      <c r="F104" s="70"/>
      <c r="G104" s="70"/>
      <c r="H104" s="70"/>
      <c r="I104" s="70"/>
      <c r="J104" s="56"/>
      <c r="K104" s="57"/>
    </row>
    <row r="105" spans="1:11" ht="36" customHeight="1">
      <c r="A105" s="6">
        <v>45</v>
      </c>
      <c r="B105" s="6">
        <v>700</v>
      </c>
      <c r="C105" s="6">
        <v>70005</v>
      </c>
      <c r="D105" s="6" t="s">
        <v>61</v>
      </c>
      <c r="E105" s="30" t="s">
        <v>62</v>
      </c>
      <c r="F105" s="5">
        <f>2346595.91+400000+1500000-250000-2996595.91</f>
        <v>1000000</v>
      </c>
      <c r="G105" s="42" t="s">
        <v>11</v>
      </c>
      <c r="H105" s="28">
        <v>127514.59</v>
      </c>
      <c r="I105" s="42">
        <f>H105/F105</f>
        <v>0.12751458999999998</v>
      </c>
      <c r="J105" s="56" t="s">
        <v>11</v>
      </c>
      <c r="K105" s="57">
        <v>2017</v>
      </c>
    </row>
    <row r="106" spans="1:11" ht="45.75" customHeight="1">
      <c r="A106" s="70" t="s">
        <v>539</v>
      </c>
      <c r="B106" s="70"/>
      <c r="C106" s="70"/>
      <c r="D106" s="70"/>
      <c r="E106" s="70"/>
      <c r="F106" s="70"/>
      <c r="G106" s="70"/>
      <c r="H106" s="70"/>
      <c r="I106" s="70"/>
      <c r="J106" s="56"/>
      <c r="K106" s="57"/>
    </row>
    <row r="107" spans="1:11" ht="36" customHeight="1">
      <c r="A107" s="6">
        <v>46</v>
      </c>
      <c r="B107" s="6">
        <v>700</v>
      </c>
      <c r="C107" s="6">
        <v>70005</v>
      </c>
      <c r="D107" s="6" t="s">
        <v>321</v>
      </c>
      <c r="E107" s="4" t="s">
        <v>345</v>
      </c>
      <c r="F107" s="5">
        <v>100000</v>
      </c>
      <c r="G107" s="17"/>
      <c r="H107" s="28">
        <v>100000</v>
      </c>
      <c r="I107" s="42">
        <f>H107/F107</f>
        <v>1</v>
      </c>
      <c r="J107" s="56" t="s">
        <v>11</v>
      </c>
      <c r="K107" s="57">
        <v>2017</v>
      </c>
    </row>
    <row r="108" spans="1:11" ht="36" customHeight="1">
      <c r="A108" s="70" t="s">
        <v>502</v>
      </c>
      <c r="B108" s="70"/>
      <c r="C108" s="70"/>
      <c r="D108" s="70"/>
      <c r="E108" s="70"/>
      <c r="F108" s="70"/>
      <c r="G108" s="70"/>
      <c r="H108" s="70"/>
      <c r="I108" s="70"/>
      <c r="J108" s="56"/>
      <c r="K108" s="57"/>
    </row>
    <row r="109" spans="1:11" ht="36" customHeight="1">
      <c r="A109" s="3">
        <v>47</v>
      </c>
      <c r="B109" s="3">
        <v>700</v>
      </c>
      <c r="C109" s="3">
        <v>70005</v>
      </c>
      <c r="D109" s="3" t="s">
        <v>82</v>
      </c>
      <c r="E109" s="10" t="s">
        <v>83</v>
      </c>
      <c r="F109" s="29">
        <f>80646.6+300000-230000+25741-18856</f>
        <v>157531.59999999998</v>
      </c>
      <c r="G109" s="17"/>
      <c r="H109" s="28">
        <v>151069.01</v>
      </c>
      <c r="I109" s="42">
        <f>H109/F109</f>
        <v>0.9589759134040411</v>
      </c>
      <c r="J109" s="56" t="s">
        <v>16</v>
      </c>
      <c r="K109" s="57" t="s">
        <v>416</v>
      </c>
    </row>
    <row r="110" spans="1:11" ht="57.75" customHeight="1">
      <c r="A110" s="70" t="s">
        <v>540</v>
      </c>
      <c r="B110" s="70"/>
      <c r="C110" s="70"/>
      <c r="D110" s="70"/>
      <c r="E110" s="70"/>
      <c r="F110" s="70"/>
      <c r="G110" s="70"/>
      <c r="H110" s="70"/>
      <c r="I110" s="70"/>
      <c r="J110" s="56"/>
      <c r="K110" s="57"/>
    </row>
    <row r="111" spans="1:11" ht="36" customHeight="1">
      <c r="A111" s="73" t="s">
        <v>63</v>
      </c>
      <c r="B111" s="73"/>
      <c r="C111" s="73"/>
      <c r="D111" s="73"/>
      <c r="E111" s="73"/>
      <c r="F111" s="14">
        <f>F112+F114</f>
        <v>7000000</v>
      </c>
      <c r="G111" s="14">
        <f>G112+G114</f>
        <v>0</v>
      </c>
      <c r="H111" s="14">
        <f>H112+H114</f>
        <v>7000000</v>
      </c>
      <c r="I111" s="47">
        <f>H111/F111</f>
        <v>1</v>
      </c>
      <c r="J111" s="56"/>
      <c r="K111" s="57"/>
    </row>
    <row r="112" spans="1:11" ht="51.75" customHeight="1">
      <c r="A112" s="6">
        <v>48</v>
      </c>
      <c r="B112" s="6">
        <v>700</v>
      </c>
      <c r="C112" s="6">
        <v>70021</v>
      </c>
      <c r="D112" s="6" t="s">
        <v>64</v>
      </c>
      <c r="E112" s="30" t="s">
        <v>65</v>
      </c>
      <c r="F112" s="5">
        <f>2500000-500000</f>
        <v>2000000</v>
      </c>
      <c r="G112" s="60"/>
      <c r="H112" s="28">
        <v>2000000</v>
      </c>
      <c r="I112" s="42">
        <f>H112/F112</f>
        <v>1</v>
      </c>
      <c r="J112" s="56" t="s">
        <v>11</v>
      </c>
      <c r="K112" s="57">
        <v>2017</v>
      </c>
    </row>
    <row r="113" spans="1:11" ht="51.75" customHeight="1">
      <c r="A113" s="70" t="s">
        <v>471</v>
      </c>
      <c r="B113" s="70"/>
      <c r="C113" s="70"/>
      <c r="D113" s="70"/>
      <c r="E113" s="70"/>
      <c r="F113" s="70"/>
      <c r="G113" s="70"/>
      <c r="H113" s="70"/>
      <c r="I113" s="70"/>
      <c r="J113" s="56"/>
      <c r="K113" s="57"/>
    </row>
    <row r="114" spans="1:11" ht="44.25" customHeight="1">
      <c r="A114" s="11">
        <v>49</v>
      </c>
      <c r="B114" s="11">
        <v>700</v>
      </c>
      <c r="C114" s="11">
        <v>70021</v>
      </c>
      <c r="D114" s="11" t="s">
        <v>391</v>
      </c>
      <c r="E114" s="19" t="s">
        <v>390</v>
      </c>
      <c r="F114" s="13">
        <v>5000000</v>
      </c>
      <c r="G114" s="60"/>
      <c r="H114" s="28">
        <v>5000000</v>
      </c>
      <c r="I114" s="42">
        <f>H114/F114</f>
        <v>1</v>
      </c>
      <c r="J114" s="56" t="s">
        <v>16</v>
      </c>
      <c r="K114" s="57" t="s">
        <v>416</v>
      </c>
    </row>
    <row r="115" spans="1:11" ht="41.25" customHeight="1">
      <c r="A115" s="71" t="s">
        <v>588</v>
      </c>
      <c r="B115" s="71"/>
      <c r="C115" s="71"/>
      <c r="D115" s="71"/>
      <c r="E115" s="71"/>
      <c r="F115" s="71"/>
      <c r="G115" s="71"/>
      <c r="H115" s="71"/>
      <c r="I115" s="71"/>
      <c r="J115" s="56"/>
      <c r="K115" s="57"/>
    </row>
    <row r="116" spans="1:11" ht="38.25" customHeight="1">
      <c r="A116" s="73" t="s">
        <v>66</v>
      </c>
      <c r="B116" s="73"/>
      <c r="C116" s="73"/>
      <c r="D116" s="73"/>
      <c r="E116" s="73"/>
      <c r="F116" s="14">
        <f>F117+F119+F121+F123+F125</f>
        <v>1168423.3599999999</v>
      </c>
      <c r="G116" s="14" t="e">
        <f>G117+G119+G121+G123+G125</f>
        <v>#VALUE!</v>
      </c>
      <c r="H116" s="14">
        <f>H117+H119+H121+H123+H125</f>
        <v>1025229.01</v>
      </c>
      <c r="I116" s="47">
        <f>H116/F116</f>
        <v>0.8774465190425499</v>
      </c>
      <c r="J116" s="56"/>
      <c r="K116" s="57"/>
    </row>
    <row r="117" spans="1:11" ht="37.5" customHeight="1">
      <c r="A117" s="3">
        <v>50</v>
      </c>
      <c r="B117" s="3">
        <v>700</v>
      </c>
      <c r="C117" s="3">
        <v>70095</v>
      </c>
      <c r="D117" s="3" t="s">
        <v>67</v>
      </c>
      <c r="E117" s="10" t="s">
        <v>68</v>
      </c>
      <c r="F117" s="29">
        <v>486001</v>
      </c>
      <c r="G117" s="41" t="s">
        <v>16</v>
      </c>
      <c r="H117" s="26">
        <v>486001</v>
      </c>
      <c r="I117" s="41">
        <f>H117/F117</f>
        <v>1</v>
      </c>
      <c r="J117" s="56" t="s">
        <v>16</v>
      </c>
      <c r="K117" s="57" t="s">
        <v>519</v>
      </c>
    </row>
    <row r="118" spans="1:11" ht="40.5" customHeight="1">
      <c r="A118" s="70" t="s">
        <v>541</v>
      </c>
      <c r="B118" s="70"/>
      <c r="C118" s="70"/>
      <c r="D118" s="70"/>
      <c r="E118" s="70"/>
      <c r="F118" s="70"/>
      <c r="G118" s="70"/>
      <c r="H118" s="70"/>
      <c r="I118" s="70"/>
      <c r="J118" s="56"/>
      <c r="K118" s="57"/>
    </row>
    <row r="119" spans="1:11" ht="42" customHeight="1">
      <c r="A119" s="3">
        <v>51</v>
      </c>
      <c r="B119" s="3">
        <v>700</v>
      </c>
      <c r="C119" s="3">
        <v>70095</v>
      </c>
      <c r="D119" s="3" t="s">
        <v>69</v>
      </c>
      <c r="E119" s="10" t="s">
        <v>70</v>
      </c>
      <c r="F119" s="29">
        <f>4800-2175.17</f>
        <v>2624.83</v>
      </c>
      <c r="G119" s="41" t="s">
        <v>16</v>
      </c>
      <c r="H119" s="26">
        <v>2624.83</v>
      </c>
      <c r="I119" s="41">
        <f>H119/F119</f>
        <v>1</v>
      </c>
      <c r="J119" s="56" t="s">
        <v>16</v>
      </c>
      <c r="K119" s="57" t="s">
        <v>420</v>
      </c>
    </row>
    <row r="120" spans="1:11" ht="33" customHeight="1">
      <c r="A120" s="76" t="s">
        <v>493</v>
      </c>
      <c r="B120" s="76"/>
      <c r="C120" s="76"/>
      <c r="D120" s="76"/>
      <c r="E120" s="76"/>
      <c r="F120" s="76"/>
      <c r="G120" s="76"/>
      <c r="H120" s="76"/>
      <c r="I120" s="76"/>
      <c r="J120" s="56"/>
      <c r="K120" s="57"/>
    </row>
    <row r="121" spans="1:11" ht="33" customHeight="1">
      <c r="A121" s="6">
        <v>52</v>
      </c>
      <c r="B121" s="6">
        <v>700</v>
      </c>
      <c r="C121" s="6">
        <v>70095</v>
      </c>
      <c r="D121" s="6" t="s">
        <v>188</v>
      </c>
      <c r="E121" s="30" t="s">
        <v>189</v>
      </c>
      <c r="F121" s="5">
        <v>143790.12</v>
      </c>
      <c r="G121" s="60"/>
      <c r="H121" s="28">
        <v>143479.17</v>
      </c>
      <c r="I121" s="42">
        <f>H121/F121</f>
        <v>0.9978374731170683</v>
      </c>
      <c r="J121" s="56" t="s">
        <v>16</v>
      </c>
      <c r="K121" s="57" t="s">
        <v>410</v>
      </c>
    </row>
    <row r="122" spans="1:11" ht="33" customHeight="1">
      <c r="A122" s="70" t="s">
        <v>474</v>
      </c>
      <c r="B122" s="70"/>
      <c r="C122" s="70"/>
      <c r="D122" s="70"/>
      <c r="E122" s="70"/>
      <c r="F122" s="70"/>
      <c r="G122" s="70"/>
      <c r="H122" s="70"/>
      <c r="I122" s="70"/>
      <c r="J122" s="56"/>
      <c r="K122" s="57"/>
    </row>
    <row r="123" spans="1:11" ht="39.75" customHeight="1">
      <c r="A123" s="6">
        <v>53</v>
      </c>
      <c r="B123" s="6">
        <v>700</v>
      </c>
      <c r="C123" s="6">
        <v>70095</v>
      </c>
      <c r="D123" s="6" t="s">
        <v>190</v>
      </c>
      <c r="E123" s="4" t="s">
        <v>191</v>
      </c>
      <c r="F123" s="5">
        <f>200000+80000+57500+180000-180000</f>
        <v>337500</v>
      </c>
      <c r="G123" s="60"/>
      <c r="H123" s="28">
        <v>194616.6</v>
      </c>
      <c r="I123" s="42">
        <f>H123/F123</f>
        <v>0.5766417777777778</v>
      </c>
      <c r="J123" s="56" t="s">
        <v>11</v>
      </c>
      <c r="K123" s="57">
        <v>2017</v>
      </c>
    </row>
    <row r="124" spans="1:11" ht="69" customHeight="1">
      <c r="A124" s="70" t="s">
        <v>589</v>
      </c>
      <c r="B124" s="70"/>
      <c r="C124" s="70"/>
      <c r="D124" s="70"/>
      <c r="E124" s="70"/>
      <c r="F124" s="70"/>
      <c r="G124" s="70"/>
      <c r="H124" s="70"/>
      <c r="I124" s="70"/>
      <c r="J124" s="56"/>
      <c r="K124" s="57"/>
    </row>
    <row r="125" spans="1:11" ht="49.5" customHeight="1">
      <c r="A125" s="6">
        <v>54</v>
      </c>
      <c r="B125" s="6">
        <v>700</v>
      </c>
      <c r="C125" s="6">
        <v>70095</v>
      </c>
      <c r="D125" s="6" t="s">
        <v>292</v>
      </c>
      <c r="E125" s="4" t="s">
        <v>293</v>
      </c>
      <c r="F125" s="5">
        <f>200460-1952.59</f>
        <v>198507.41</v>
      </c>
      <c r="G125" s="60"/>
      <c r="H125" s="28">
        <v>198507.41</v>
      </c>
      <c r="I125" s="42">
        <f>H125/F125</f>
        <v>1</v>
      </c>
      <c r="J125" s="56" t="s">
        <v>11</v>
      </c>
      <c r="K125" s="57">
        <v>2017</v>
      </c>
    </row>
    <row r="126" spans="1:11" ht="54" customHeight="1">
      <c r="A126" s="70" t="s">
        <v>507</v>
      </c>
      <c r="B126" s="70"/>
      <c r="C126" s="70"/>
      <c r="D126" s="70"/>
      <c r="E126" s="70"/>
      <c r="F126" s="70"/>
      <c r="G126" s="70"/>
      <c r="H126" s="70"/>
      <c r="I126" s="70"/>
      <c r="J126" s="56"/>
      <c r="K126" s="57"/>
    </row>
    <row r="127" spans="1:11" ht="33" customHeight="1">
      <c r="A127" s="73" t="s">
        <v>71</v>
      </c>
      <c r="B127" s="73"/>
      <c r="C127" s="73"/>
      <c r="D127" s="73"/>
      <c r="E127" s="73"/>
      <c r="F127" s="14">
        <f>F128+F131</f>
        <v>5234350.77</v>
      </c>
      <c r="G127" s="14" t="e">
        <f>G128+G131</f>
        <v>#VALUE!</v>
      </c>
      <c r="H127" s="14">
        <f>H128+H131</f>
        <v>4901363.359999999</v>
      </c>
      <c r="I127" s="46">
        <f>H127/F127</f>
        <v>0.9363842003274839</v>
      </c>
      <c r="J127" s="56"/>
      <c r="K127" s="57"/>
    </row>
    <row r="128" spans="1:11" ht="33" customHeight="1">
      <c r="A128" s="73" t="s">
        <v>72</v>
      </c>
      <c r="B128" s="73"/>
      <c r="C128" s="73"/>
      <c r="D128" s="73"/>
      <c r="E128" s="73"/>
      <c r="F128" s="14">
        <f>F129</f>
        <v>730404.0900000001</v>
      </c>
      <c r="G128" s="14" t="str">
        <f>G129</f>
        <v>WPF</v>
      </c>
      <c r="H128" s="14">
        <f>H129</f>
        <v>717814.31</v>
      </c>
      <c r="I128" s="47">
        <f>H128/F128</f>
        <v>0.9827632673853182</v>
      </c>
      <c r="J128" s="56"/>
      <c r="K128" s="57"/>
    </row>
    <row r="129" spans="1:11" ht="45" customHeight="1">
      <c r="A129" s="3">
        <v>55</v>
      </c>
      <c r="B129" s="3">
        <v>710</v>
      </c>
      <c r="C129" s="3">
        <v>71035</v>
      </c>
      <c r="D129" s="3" t="s">
        <v>73</v>
      </c>
      <c r="E129" s="10" t="s">
        <v>74</v>
      </c>
      <c r="F129" s="29">
        <f>421404.09+300000+9000</f>
        <v>730404.0900000001</v>
      </c>
      <c r="G129" s="41" t="s">
        <v>16</v>
      </c>
      <c r="H129" s="26">
        <v>717814.31</v>
      </c>
      <c r="I129" s="41">
        <f>H129/F129</f>
        <v>0.9827632673853182</v>
      </c>
      <c r="J129" s="56" t="s">
        <v>16</v>
      </c>
      <c r="K129" s="57" t="s">
        <v>518</v>
      </c>
    </row>
    <row r="130" spans="1:11" ht="45" customHeight="1">
      <c r="A130" s="70" t="s">
        <v>590</v>
      </c>
      <c r="B130" s="70"/>
      <c r="C130" s="70"/>
      <c r="D130" s="70"/>
      <c r="E130" s="70"/>
      <c r="F130" s="70"/>
      <c r="G130" s="70"/>
      <c r="H130" s="70"/>
      <c r="I130" s="70"/>
      <c r="J130" s="56"/>
      <c r="K130" s="57"/>
    </row>
    <row r="131" spans="1:11" ht="45" customHeight="1">
      <c r="A131" s="73" t="s">
        <v>75</v>
      </c>
      <c r="B131" s="73"/>
      <c r="C131" s="73"/>
      <c r="D131" s="73"/>
      <c r="E131" s="73"/>
      <c r="F131" s="14">
        <f>F132+F134</f>
        <v>4503946.68</v>
      </c>
      <c r="G131" s="14">
        <f>G132+G134</f>
        <v>4361146.68</v>
      </c>
      <c r="H131" s="14">
        <f>H132+H134</f>
        <v>4183549.05</v>
      </c>
      <c r="I131" s="47">
        <f>H131/F131</f>
        <v>0.9288629167341741</v>
      </c>
      <c r="J131" s="56"/>
      <c r="K131" s="57"/>
    </row>
    <row r="132" spans="1:11" ht="45" customHeight="1">
      <c r="A132" s="6">
        <v>56</v>
      </c>
      <c r="B132" s="6">
        <v>710</v>
      </c>
      <c r="C132" s="6">
        <v>71095</v>
      </c>
      <c r="D132" s="6" t="s">
        <v>363</v>
      </c>
      <c r="E132" s="37" t="s">
        <v>76</v>
      </c>
      <c r="F132" s="5">
        <f>1761146.68+2600000</f>
        <v>4361146.68</v>
      </c>
      <c r="G132" s="5">
        <f>1761146.68+2600000</f>
        <v>4361146.68</v>
      </c>
      <c r="H132" s="5">
        <v>4040772.23</v>
      </c>
      <c r="I132" s="42">
        <f>H132/F132</f>
        <v>0.926538941817935</v>
      </c>
      <c r="J132" s="56" t="s">
        <v>16</v>
      </c>
      <c r="K132" s="57" t="s">
        <v>421</v>
      </c>
    </row>
    <row r="133" spans="1:11" ht="57" customHeight="1">
      <c r="A133" s="72" t="s">
        <v>591</v>
      </c>
      <c r="B133" s="72"/>
      <c r="C133" s="72"/>
      <c r="D133" s="72"/>
      <c r="E133" s="72"/>
      <c r="F133" s="72"/>
      <c r="G133" s="72"/>
      <c r="H133" s="72"/>
      <c r="I133" s="72"/>
      <c r="J133" s="56"/>
      <c r="K133" s="57"/>
    </row>
    <row r="134" spans="1:11" ht="41.25" customHeight="1">
      <c r="A134" s="9">
        <v>57</v>
      </c>
      <c r="B134" s="9">
        <v>710</v>
      </c>
      <c r="C134" s="9">
        <v>71095</v>
      </c>
      <c r="D134" s="9" t="s">
        <v>192</v>
      </c>
      <c r="E134" s="7" t="s">
        <v>193</v>
      </c>
      <c r="F134" s="8">
        <f>122800+20000</f>
        <v>142800</v>
      </c>
      <c r="G134" s="17"/>
      <c r="H134" s="28">
        <v>142776.82</v>
      </c>
      <c r="I134" s="42">
        <f>H134/F134</f>
        <v>0.9998376750700281</v>
      </c>
      <c r="J134" s="56" t="s">
        <v>16</v>
      </c>
      <c r="K134" s="57" t="s">
        <v>410</v>
      </c>
    </row>
    <row r="135" spans="1:11" ht="40.5" customHeight="1">
      <c r="A135" s="72" t="s">
        <v>475</v>
      </c>
      <c r="B135" s="72"/>
      <c r="C135" s="72"/>
      <c r="D135" s="72"/>
      <c r="E135" s="72"/>
      <c r="F135" s="72"/>
      <c r="G135" s="72"/>
      <c r="H135" s="72"/>
      <c r="I135" s="72"/>
      <c r="J135" s="56"/>
      <c r="K135" s="57"/>
    </row>
    <row r="136" spans="1:11" ht="39" customHeight="1">
      <c r="A136" s="75" t="s">
        <v>194</v>
      </c>
      <c r="B136" s="75"/>
      <c r="C136" s="75"/>
      <c r="D136" s="75"/>
      <c r="E136" s="75"/>
      <c r="F136" s="15">
        <f>F137</f>
        <v>1696394.7000000002</v>
      </c>
      <c r="G136" s="15">
        <f>G137</f>
        <v>0</v>
      </c>
      <c r="H136" s="15">
        <f>H137</f>
        <v>1682369.2</v>
      </c>
      <c r="I136" s="47">
        <f>H136/F136</f>
        <v>0.9917321717640357</v>
      </c>
      <c r="J136" s="56"/>
      <c r="K136" s="57"/>
    </row>
    <row r="137" spans="1:11" ht="40.5" customHeight="1">
      <c r="A137" s="75" t="s">
        <v>195</v>
      </c>
      <c r="B137" s="75"/>
      <c r="C137" s="75"/>
      <c r="D137" s="75"/>
      <c r="E137" s="75"/>
      <c r="F137" s="15">
        <f>F138+F140</f>
        <v>1696394.7000000002</v>
      </c>
      <c r="G137" s="15">
        <f>G138+G140</f>
        <v>0</v>
      </c>
      <c r="H137" s="15">
        <f>H138+H140</f>
        <v>1682369.2</v>
      </c>
      <c r="I137" s="47">
        <f>H137/F137</f>
        <v>0.9917321717640357</v>
      </c>
      <c r="J137" s="56"/>
      <c r="K137" s="57"/>
    </row>
    <row r="138" spans="1:11" ht="46.5" customHeight="1">
      <c r="A138" s="9">
        <v>58</v>
      </c>
      <c r="B138" s="9">
        <v>720</v>
      </c>
      <c r="C138" s="9">
        <v>72095</v>
      </c>
      <c r="D138" s="9" t="s">
        <v>196</v>
      </c>
      <c r="E138" s="7" t="s">
        <v>197</v>
      </c>
      <c r="F138" s="8">
        <f>500000+300000+42000</f>
        <v>842000</v>
      </c>
      <c r="G138" s="17"/>
      <c r="H138" s="28">
        <v>827974.5</v>
      </c>
      <c r="I138" s="42">
        <f>H138/F138</f>
        <v>0.9833426365795724</v>
      </c>
      <c r="J138" s="56" t="s">
        <v>11</v>
      </c>
      <c r="K138" s="57">
        <v>2017</v>
      </c>
    </row>
    <row r="139" spans="1:11" ht="46.5" customHeight="1">
      <c r="A139" s="72" t="s">
        <v>542</v>
      </c>
      <c r="B139" s="72"/>
      <c r="C139" s="72"/>
      <c r="D139" s="72"/>
      <c r="E139" s="72"/>
      <c r="F139" s="72"/>
      <c r="G139" s="72"/>
      <c r="H139" s="72"/>
      <c r="I139" s="72"/>
      <c r="J139" s="56"/>
      <c r="K139" s="57"/>
    </row>
    <row r="140" spans="1:11" ht="36" customHeight="1">
      <c r="A140" s="9">
        <v>59</v>
      </c>
      <c r="B140" s="9">
        <v>720</v>
      </c>
      <c r="C140" s="9">
        <v>72095</v>
      </c>
      <c r="D140" s="9" t="s">
        <v>325</v>
      </c>
      <c r="E140" s="7" t="s">
        <v>524</v>
      </c>
      <c r="F140" s="8">
        <f>1348601.3-494206.6</f>
        <v>854394.7000000001</v>
      </c>
      <c r="G140" s="17"/>
      <c r="H140" s="28">
        <v>854394.7</v>
      </c>
      <c r="I140" s="42">
        <f>H140/F140</f>
        <v>0.9999999999999999</v>
      </c>
      <c r="J140" s="56" t="s">
        <v>11</v>
      </c>
      <c r="K140" s="57">
        <v>2017</v>
      </c>
    </row>
    <row r="141" spans="1:11" ht="39" customHeight="1">
      <c r="A141" s="72" t="s">
        <v>523</v>
      </c>
      <c r="B141" s="72"/>
      <c r="C141" s="72"/>
      <c r="D141" s="72"/>
      <c r="E141" s="72"/>
      <c r="F141" s="72"/>
      <c r="G141" s="72"/>
      <c r="H141" s="72"/>
      <c r="I141" s="72"/>
      <c r="J141" s="56"/>
      <c r="K141" s="57"/>
    </row>
    <row r="142" spans="1:11" ht="41.25" customHeight="1">
      <c r="A142" s="75" t="s">
        <v>77</v>
      </c>
      <c r="B142" s="75"/>
      <c r="C142" s="75"/>
      <c r="D142" s="75"/>
      <c r="E142" s="75"/>
      <c r="F142" s="14">
        <f>F143+F157+F154</f>
        <v>2406287.63</v>
      </c>
      <c r="G142" s="14" t="e">
        <f>G143+G157+G154</f>
        <v>#VALUE!</v>
      </c>
      <c r="H142" s="14">
        <f>H143+H157+H154</f>
        <v>2283836.61</v>
      </c>
      <c r="I142" s="47">
        <f>H142/F142</f>
        <v>0.9491120602236566</v>
      </c>
      <c r="J142" s="56"/>
      <c r="K142" s="57"/>
    </row>
    <row r="143" spans="1:11" ht="42.75" customHeight="1">
      <c r="A143" s="75" t="s">
        <v>78</v>
      </c>
      <c r="B143" s="75"/>
      <c r="C143" s="75"/>
      <c r="D143" s="75"/>
      <c r="E143" s="75"/>
      <c r="F143" s="14">
        <f>F144+F146+F148+F150+F152</f>
        <v>2303876.63</v>
      </c>
      <c r="G143" s="14" t="e">
        <f>G144+G146+G148+G150+G152</f>
        <v>#VALUE!</v>
      </c>
      <c r="H143" s="14">
        <f>H144+H146+H148+H150+H152</f>
        <v>2181754.21</v>
      </c>
      <c r="I143" s="47">
        <f>H143/F143</f>
        <v>0.9469926390980407</v>
      </c>
      <c r="J143" s="56"/>
      <c r="K143" s="57"/>
    </row>
    <row r="144" spans="1:11" ht="49.5" customHeight="1">
      <c r="A144" s="3">
        <v>60</v>
      </c>
      <c r="B144" s="3">
        <v>750</v>
      </c>
      <c r="C144" s="3">
        <v>75023</v>
      </c>
      <c r="D144" s="3" t="s">
        <v>79</v>
      </c>
      <c r="E144" s="10" t="s">
        <v>80</v>
      </c>
      <c r="F144" s="29">
        <f>1146794-60000</f>
        <v>1086794</v>
      </c>
      <c r="G144" s="41" t="s">
        <v>11</v>
      </c>
      <c r="H144" s="26">
        <v>1083746.32</v>
      </c>
      <c r="I144" s="41">
        <f>H144/F144</f>
        <v>0.9971957151033223</v>
      </c>
      <c r="J144" s="56" t="s">
        <v>16</v>
      </c>
      <c r="K144" s="57" t="s">
        <v>592</v>
      </c>
    </row>
    <row r="145" spans="1:11" ht="48" customHeight="1">
      <c r="A145" s="72" t="s">
        <v>593</v>
      </c>
      <c r="B145" s="72"/>
      <c r="C145" s="72"/>
      <c r="D145" s="72"/>
      <c r="E145" s="72"/>
      <c r="F145" s="72"/>
      <c r="G145" s="72"/>
      <c r="H145" s="72"/>
      <c r="I145" s="72"/>
      <c r="J145" s="56"/>
      <c r="K145" s="57"/>
    </row>
    <row r="146" spans="1:11" ht="41.25" customHeight="1">
      <c r="A146" s="6">
        <v>61</v>
      </c>
      <c r="B146" s="6">
        <v>750</v>
      </c>
      <c r="C146" s="6">
        <v>75023</v>
      </c>
      <c r="D146" s="6" t="s">
        <v>81</v>
      </c>
      <c r="E146" s="10" t="s">
        <v>294</v>
      </c>
      <c r="F146" s="5">
        <f>40000+350000+350000-43917.37+21000</f>
        <v>717082.63</v>
      </c>
      <c r="G146" s="42" t="s">
        <v>11</v>
      </c>
      <c r="H146" s="28">
        <v>649491.57</v>
      </c>
      <c r="I146" s="42">
        <f>H146/F146</f>
        <v>0.905741601912739</v>
      </c>
      <c r="J146" s="56" t="s">
        <v>16</v>
      </c>
      <c r="K146" s="57" t="s">
        <v>411</v>
      </c>
    </row>
    <row r="147" spans="1:11" ht="51" customHeight="1">
      <c r="A147" s="70" t="s">
        <v>492</v>
      </c>
      <c r="B147" s="70"/>
      <c r="C147" s="70"/>
      <c r="D147" s="70"/>
      <c r="E147" s="70"/>
      <c r="F147" s="70"/>
      <c r="G147" s="70"/>
      <c r="H147" s="70"/>
      <c r="I147" s="70"/>
      <c r="J147" s="56"/>
      <c r="K147" s="57"/>
    </row>
    <row r="148" spans="1:11" ht="48.75" customHeight="1">
      <c r="A148" s="6">
        <v>62</v>
      </c>
      <c r="B148" s="6">
        <v>750</v>
      </c>
      <c r="C148" s="6">
        <v>75023</v>
      </c>
      <c r="D148" s="6" t="s">
        <v>215</v>
      </c>
      <c r="E148" s="4" t="s">
        <v>216</v>
      </c>
      <c r="F148" s="5">
        <v>250000</v>
      </c>
      <c r="G148" s="63"/>
      <c r="H148" s="28">
        <v>208820.32</v>
      </c>
      <c r="I148" s="42">
        <f>H148/F148</f>
        <v>0.83528128</v>
      </c>
      <c r="J148" s="56" t="s">
        <v>11</v>
      </c>
      <c r="K148" s="57">
        <v>2017</v>
      </c>
    </row>
    <row r="149" spans="1:11" ht="42.75" customHeight="1">
      <c r="A149" s="70" t="s">
        <v>496</v>
      </c>
      <c r="B149" s="70"/>
      <c r="C149" s="70"/>
      <c r="D149" s="70"/>
      <c r="E149" s="70"/>
      <c r="F149" s="70"/>
      <c r="G149" s="70"/>
      <c r="H149" s="70"/>
      <c r="I149" s="70"/>
      <c r="J149" s="56"/>
      <c r="K149" s="57"/>
    </row>
    <row r="150" spans="1:11" ht="44.25" customHeight="1">
      <c r="A150" s="6">
        <v>63</v>
      </c>
      <c r="B150" s="6">
        <v>750</v>
      </c>
      <c r="C150" s="6">
        <v>75023</v>
      </c>
      <c r="D150" s="6" t="s">
        <v>275</v>
      </c>
      <c r="E150" s="4" t="s">
        <v>276</v>
      </c>
      <c r="F150" s="5">
        <v>190000</v>
      </c>
      <c r="G150" s="63"/>
      <c r="H150" s="28">
        <v>182296</v>
      </c>
      <c r="I150" s="42">
        <f>H150/F150</f>
        <v>0.9594526315789473</v>
      </c>
      <c r="J150" s="56" t="s">
        <v>11</v>
      </c>
      <c r="K150" s="57">
        <v>2017</v>
      </c>
    </row>
    <row r="151" spans="1:11" ht="39" customHeight="1">
      <c r="A151" s="70" t="s">
        <v>497</v>
      </c>
      <c r="B151" s="70"/>
      <c r="C151" s="70"/>
      <c r="D151" s="70"/>
      <c r="E151" s="70"/>
      <c r="F151" s="70"/>
      <c r="G151" s="70"/>
      <c r="H151" s="70"/>
      <c r="I151" s="70"/>
      <c r="J151" s="56"/>
      <c r="K151" s="57"/>
    </row>
    <row r="152" spans="1:11" ht="44.25" customHeight="1">
      <c r="A152" s="6">
        <v>64</v>
      </c>
      <c r="B152" s="6">
        <v>750</v>
      </c>
      <c r="C152" s="6">
        <v>75023</v>
      </c>
      <c r="D152" s="6" t="s">
        <v>277</v>
      </c>
      <c r="E152" s="4" t="s">
        <v>278</v>
      </c>
      <c r="F152" s="5">
        <v>60000</v>
      </c>
      <c r="G152" s="63"/>
      <c r="H152" s="28">
        <v>57400</v>
      </c>
      <c r="I152" s="42">
        <f>H152/F152</f>
        <v>0.9566666666666667</v>
      </c>
      <c r="J152" s="56" t="s">
        <v>11</v>
      </c>
      <c r="K152" s="57">
        <v>2017</v>
      </c>
    </row>
    <row r="153" spans="1:11" ht="44.25" customHeight="1">
      <c r="A153" s="70" t="s">
        <v>491</v>
      </c>
      <c r="B153" s="70"/>
      <c r="C153" s="70"/>
      <c r="D153" s="70"/>
      <c r="E153" s="70"/>
      <c r="F153" s="70"/>
      <c r="G153" s="70"/>
      <c r="H153" s="70"/>
      <c r="I153" s="70"/>
      <c r="J153" s="56"/>
      <c r="K153" s="57"/>
    </row>
    <row r="154" spans="1:11" ht="44.25" customHeight="1">
      <c r="A154" s="75" t="s">
        <v>383</v>
      </c>
      <c r="B154" s="75"/>
      <c r="C154" s="75"/>
      <c r="D154" s="75"/>
      <c r="E154" s="75"/>
      <c r="F154" s="14">
        <f>F155</f>
        <v>25314</v>
      </c>
      <c r="G154" s="14">
        <f>G155</f>
        <v>0</v>
      </c>
      <c r="H154" s="14">
        <f>H155</f>
        <v>25313.4</v>
      </c>
      <c r="I154" s="47">
        <v>0.9999</v>
      </c>
      <c r="J154" s="56"/>
      <c r="K154" s="57"/>
    </row>
    <row r="155" spans="1:11" ht="44.25" customHeight="1">
      <c r="A155" s="9">
        <v>65</v>
      </c>
      <c r="B155" s="9">
        <v>750</v>
      </c>
      <c r="C155" s="9">
        <v>75085</v>
      </c>
      <c r="D155" s="9" t="s">
        <v>384</v>
      </c>
      <c r="E155" s="7" t="s">
        <v>385</v>
      </c>
      <c r="F155" s="5">
        <v>25314</v>
      </c>
      <c r="G155" s="63"/>
      <c r="H155" s="28">
        <v>25313.4</v>
      </c>
      <c r="I155" s="42">
        <v>0.9999</v>
      </c>
      <c r="J155" s="56" t="s">
        <v>11</v>
      </c>
      <c r="K155" s="57">
        <v>2017</v>
      </c>
    </row>
    <row r="156" spans="1:11" ht="35.25" customHeight="1">
      <c r="A156" s="72" t="s">
        <v>543</v>
      </c>
      <c r="B156" s="72"/>
      <c r="C156" s="72"/>
      <c r="D156" s="72"/>
      <c r="E156" s="72"/>
      <c r="F156" s="72"/>
      <c r="G156" s="72"/>
      <c r="H156" s="72"/>
      <c r="I156" s="72"/>
      <c r="J156" s="56"/>
      <c r="K156" s="57"/>
    </row>
    <row r="157" spans="1:11" ht="40.5" customHeight="1">
      <c r="A157" s="75" t="s">
        <v>229</v>
      </c>
      <c r="B157" s="75"/>
      <c r="C157" s="75"/>
      <c r="D157" s="75"/>
      <c r="E157" s="75"/>
      <c r="F157" s="14">
        <f>F158+F160</f>
        <v>77097</v>
      </c>
      <c r="G157" s="14">
        <f>G158+G160</f>
        <v>0</v>
      </c>
      <c r="H157" s="14">
        <f>H158+H160</f>
        <v>76769</v>
      </c>
      <c r="I157" s="47">
        <f>H157/F157</f>
        <v>0.9957456191550903</v>
      </c>
      <c r="J157" s="56"/>
      <c r="K157" s="57"/>
    </row>
    <row r="158" spans="1:11" ht="44.25" customHeight="1">
      <c r="A158" s="9">
        <v>66</v>
      </c>
      <c r="B158" s="9">
        <v>750</v>
      </c>
      <c r="C158" s="9">
        <v>75095</v>
      </c>
      <c r="D158" s="9" t="s">
        <v>198</v>
      </c>
      <c r="E158" s="7" t="s">
        <v>199</v>
      </c>
      <c r="F158" s="5">
        <f>86938-19841</f>
        <v>67097</v>
      </c>
      <c r="G158" s="63"/>
      <c r="H158" s="28">
        <f>54097+13000</f>
        <v>67097</v>
      </c>
      <c r="I158" s="42">
        <f>H158/F158</f>
        <v>1</v>
      </c>
      <c r="J158" s="56" t="s">
        <v>517</v>
      </c>
      <c r="K158" s="57" t="s">
        <v>410</v>
      </c>
    </row>
    <row r="159" spans="1:11" ht="44.25" customHeight="1">
      <c r="A159" s="72" t="s">
        <v>525</v>
      </c>
      <c r="B159" s="72"/>
      <c r="C159" s="72"/>
      <c r="D159" s="72"/>
      <c r="E159" s="72"/>
      <c r="F159" s="72"/>
      <c r="G159" s="72"/>
      <c r="H159" s="72"/>
      <c r="I159" s="72"/>
      <c r="J159" s="56"/>
      <c r="K159" s="57"/>
    </row>
    <row r="160" spans="1:11" ht="44.25" customHeight="1">
      <c r="A160" s="9">
        <v>67</v>
      </c>
      <c r="B160" s="9">
        <v>750</v>
      </c>
      <c r="C160" s="9">
        <v>75095</v>
      </c>
      <c r="D160" s="9" t="s">
        <v>346</v>
      </c>
      <c r="E160" s="7" t="s">
        <v>347</v>
      </c>
      <c r="F160" s="5">
        <v>10000</v>
      </c>
      <c r="G160" s="63"/>
      <c r="H160" s="28">
        <v>9672</v>
      </c>
      <c r="I160" s="42">
        <f>H160/F160</f>
        <v>0.9672</v>
      </c>
      <c r="J160" s="56" t="s">
        <v>11</v>
      </c>
      <c r="K160" s="57">
        <v>2017</v>
      </c>
    </row>
    <row r="161" spans="1:11" ht="44.25" customHeight="1">
      <c r="A161" s="72" t="s">
        <v>544</v>
      </c>
      <c r="B161" s="72"/>
      <c r="C161" s="72"/>
      <c r="D161" s="72"/>
      <c r="E161" s="72"/>
      <c r="F161" s="72"/>
      <c r="G161" s="72"/>
      <c r="H161" s="72"/>
      <c r="I161" s="72"/>
      <c r="J161" s="56"/>
      <c r="K161" s="57"/>
    </row>
    <row r="162" spans="1:11" ht="48.75" customHeight="1">
      <c r="A162" s="73" t="s">
        <v>84</v>
      </c>
      <c r="B162" s="73"/>
      <c r="C162" s="73"/>
      <c r="D162" s="73"/>
      <c r="E162" s="73"/>
      <c r="F162" s="14">
        <f>F166+F175+F163+F185+F188+F182</f>
        <v>3669315.6600000006</v>
      </c>
      <c r="G162" s="14" t="e">
        <f>G166+G175+G163+G185+G188+G182</f>
        <v>#VALUE!</v>
      </c>
      <c r="H162" s="14">
        <f>H166+H175+H163+H185+H188+H182</f>
        <v>3315496.9600000004</v>
      </c>
      <c r="I162" s="47">
        <f>H162/F162</f>
        <v>0.903573654385461</v>
      </c>
      <c r="J162" s="56"/>
      <c r="K162" s="57"/>
    </row>
    <row r="163" spans="1:11" ht="48.75" customHeight="1">
      <c r="A163" s="73" t="s">
        <v>295</v>
      </c>
      <c r="B163" s="73"/>
      <c r="C163" s="73"/>
      <c r="D163" s="73"/>
      <c r="E163" s="73"/>
      <c r="F163" s="14">
        <f>F164</f>
        <v>6500</v>
      </c>
      <c r="G163" s="14">
        <f>G164</f>
        <v>0</v>
      </c>
      <c r="H163" s="14">
        <f>H164</f>
        <v>6500</v>
      </c>
      <c r="I163" s="47">
        <f>H163/F163</f>
        <v>1</v>
      </c>
      <c r="J163" s="56"/>
      <c r="K163" s="57"/>
    </row>
    <row r="164" spans="1:11" ht="48.75" customHeight="1">
      <c r="A164" s="3">
        <v>68</v>
      </c>
      <c r="B164" s="3">
        <v>754</v>
      </c>
      <c r="C164" s="3">
        <v>75404</v>
      </c>
      <c r="D164" s="3" t="s">
        <v>296</v>
      </c>
      <c r="E164" s="38" t="s">
        <v>297</v>
      </c>
      <c r="F164" s="29">
        <v>6500</v>
      </c>
      <c r="G164" s="63"/>
      <c r="H164" s="28">
        <v>6500</v>
      </c>
      <c r="I164" s="42">
        <f>H164/F164</f>
        <v>1</v>
      </c>
      <c r="J164" s="56" t="s">
        <v>11</v>
      </c>
      <c r="K164" s="57">
        <v>2017</v>
      </c>
    </row>
    <row r="165" spans="1:11" ht="48.75" customHeight="1">
      <c r="A165" s="70" t="s">
        <v>498</v>
      </c>
      <c r="B165" s="70"/>
      <c r="C165" s="70"/>
      <c r="D165" s="70"/>
      <c r="E165" s="70"/>
      <c r="F165" s="70"/>
      <c r="G165" s="70"/>
      <c r="H165" s="70"/>
      <c r="I165" s="70"/>
      <c r="J165" s="56"/>
      <c r="K165" s="57"/>
    </row>
    <row r="166" spans="1:11" ht="44.25" customHeight="1">
      <c r="A166" s="73" t="s">
        <v>85</v>
      </c>
      <c r="B166" s="73"/>
      <c r="C166" s="73"/>
      <c r="D166" s="73"/>
      <c r="E166" s="73"/>
      <c r="F166" s="14">
        <f>F167+F169+F171+F173</f>
        <v>1380000</v>
      </c>
      <c r="G166" s="14" t="e">
        <f>G167+G169+G171+G173</f>
        <v>#VALUE!</v>
      </c>
      <c r="H166" s="14">
        <f>H167+H169+H171+H173</f>
        <v>1077391.6</v>
      </c>
      <c r="I166" s="47">
        <f>H166/F166</f>
        <v>0.7807185507246377</v>
      </c>
      <c r="J166" s="56"/>
      <c r="K166" s="57"/>
    </row>
    <row r="167" spans="1:11" ht="57" customHeight="1">
      <c r="A167" s="3">
        <v>69</v>
      </c>
      <c r="B167" s="3">
        <v>754</v>
      </c>
      <c r="C167" s="3">
        <v>75410</v>
      </c>
      <c r="D167" s="3" t="s">
        <v>86</v>
      </c>
      <c r="E167" s="38" t="s">
        <v>87</v>
      </c>
      <c r="F167" s="29">
        <v>1000000</v>
      </c>
      <c r="G167" s="41" t="s">
        <v>16</v>
      </c>
      <c r="H167" s="26">
        <v>700000</v>
      </c>
      <c r="I167" s="41">
        <f>H167/F167</f>
        <v>0.7</v>
      </c>
      <c r="J167" s="56" t="s">
        <v>16</v>
      </c>
      <c r="K167" s="57" t="s">
        <v>422</v>
      </c>
    </row>
    <row r="168" spans="1:11" ht="47.25" customHeight="1">
      <c r="A168" s="71" t="s">
        <v>508</v>
      </c>
      <c r="B168" s="70"/>
      <c r="C168" s="70"/>
      <c r="D168" s="70"/>
      <c r="E168" s="70"/>
      <c r="F168" s="70"/>
      <c r="G168" s="70"/>
      <c r="H168" s="70"/>
      <c r="I168" s="70"/>
      <c r="J168" s="56"/>
      <c r="K168" s="57"/>
    </row>
    <row r="169" spans="1:11" ht="47.25" customHeight="1">
      <c r="A169" s="6">
        <v>70</v>
      </c>
      <c r="B169" s="6">
        <v>754</v>
      </c>
      <c r="C169" s="6">
        <v>75410</v>
      </c>
      <c r="D169" s="6" t="s">
        <v>217</v>
      </c>
      <c r="E169" s="30" t="s">
        <v>397</v>
      </c>
      <c r="F169" s="5">
        <v>300000</v>
      </c>
      <c r="G169" s="60"/>
      <c r="H169" s="28">
        <v>300000</v>
      </c>
      <c r="I169" s="42">
        <f>H169/F169</f>
        <v>1</v>
      </c>
      <c r="J169" s="56" t="s">
        <v>11</v>
      </c>
      <c r="K169" s="57">
        <v>2017</v>
      </c>
    </row>
    <row r="170" spans="1:11" ht="47.25" customHeight="1">
      <c r="A170" s="70" t="s">
        <v>430</v>
      </c>
      <c r="B170" s="70"/>
      <c r="C170" s="70"/>
      <c r="D170" s="70"/>
      <c r="E170" s="70"/>
      <c r="F170" s="70"/>
      <c r="G170" s="70"/>
      <c r="H170" s="70"/>
      <c r="I170" s="70"/>
      <c r="J170" s="56"/>
      <c r="K170" s="57"/>
    </row>
    <row r="171" spans="1:11" ht="47.25" customHeight="1">
      <c r="A171" s="6">
        <v>71</v>
      </c>
      <c r="B171" s="6">
        <v>754</v>
      </c>
      <c r="C171" s="6">
        <v>75410</v>
      </c>
      <c r="D171" s="6" t="s">
        <v>279</v>
      </c>
      <c r="E171" s="4" t="s">
        <v>280</v>
      </c>
      <c r="F171" s="5">
        <v>60000</v>
      </c>
      <c r="G171" s="60"/>
      <c r="H171" s="28">
        <v>57465.6</v>
      </c>
      <c r="I171" s="42">
        <f>H171/F171</f>
        <v>0.95776</v>
      </c>
      <c r="J171" s="56" t="s">
        <v>11</v>
      </c>
      <c r="K171" s="57">
        <v>2017</v>
      </c>
    </row>
    <row r="172" spans="1:11" ht="47.25" customHeight="1">
      <c r="A172" s="70" t="s">
        <v>431</v>
      </c>
      <c r="B172" s="70"/>
      <c r="C172" s="70"/>
      <c r="D172" s="70"/>
      <c r="E172" s="70"/>
      <c r="F172" s="70"/>
      <c r="G172" s="70"/>
      <c r="H172" s="70"/>
      <c r="I172" s="70"/>
      <c r="J172" s="56"/>
      <c r="K172" s="57"/>
    </row>
    <row r="173" spans="1:11" ht="47.25" customHeight="1">
      <c r="A173" s="6">
        <v>72</v>
      </c>
      <c r="B173" s="6">
        <v>754</v>
      </c>
      <c r="C173" s="6">
        <v>75410</v>
      </c>
      <c r="D173" s="6" t="s">
        <v>372</v>
      </c>
      <c r="E173" s="4" t="s">
        <v>396</v>
      </c>
      <c r="F173" s="5">
        <v>20000</v>
      </c>
      <c r="G173" s="60"/>
      <c r="H173" s="28">
        <v>19926</v>
      </c>
      <c r="I173" s="42">
        <f>H173/F173</f>
        <v>0.9963</v>
      </c>
      <c r="J173" s="56" t="s">
        <v>16</v>
      </c>
      <c r="K173" s="57" t="s">
        <v>416</v>
      </c>
    </row>
    <row r="174" spans="1:11" ht="47.25" customHeight="1">
      <c r="A174" s="78" t="s">
        <v>510</v>
      </c>
      <c r="B174" s="78"/>
      <c r="C174" s="78"/>
      <c r="D174" s="78"/>
      <c r="E174" s="78"/>
      <c r="F174" s="78"/>
      <c r="G174" s="78"/>
      <c r="H174" s="78"/>
      <c r="I174" s="78"/>
      <c r="J174" s="56"/>
      <c r="K174" s="57"/>
    </row>
    <row r="175" spans="1:11" ht="42" customHeight="1">
      <c r="A175" s="73" t="s">
        <v>88</v>
      </c>
      <c r="B175" s="73"/>
      <c r="C175" s="73"/>
      <c r="D175" s="73"/>
      <c r="E175" s="73"/>
      <c r="F175" s="14">
        <f>F176+F178+F180</f>
        <v>2194551.2300000004</v>
      </c>
      <c r="G175" s="14" t="e">
        <f>G176+G178+G180</f>
        <v>#VALUE!</v>
      </c>
      <c r="H175" s="14">
        <f>H176+H178+H180</f>
        <v>2188429.99</v>
      </c>
      <c r="I175" s="47">
        <f>H175/F175</f>
        <v>0.997210709909014</v>
      </c>
      <c r="J175" s="56"/>
      <c r="K175" s="57"/>
    </row>
    <row r="176" spans="1:11" ht="48" customHeight="1">
      <c r="A176" s="3">
        <v>73</v>
      </c>
      <c r="B176" s="3">
        <v>754</v>
      </c>
      <c r="C176" s="3">
        <v>75411</v>
      </c>
      <c r="D176" s="3" t="s">
        <v>89</v>
      </c>
      <c r="E176" s="38" t="s">
        <v>594</v>
      </c>
      <c r="F176" s="29">
        <f>1162000+1000000</f>
        <v>2162000</v>
      </c>
      <c r="G176" s="41" t="s">
        <v>16</v>
      </c>
      <c r="H176" s="26">
        <v>2162000</v>
      </c>
      <c r="I176" s="41">
        <f>H176/F176</f>
        <v>1</v>
      </c>
      <c r="J176" s="56" t="s">
        <v>16</v>
      </c>
      <c r="K176" s="57" t="s">
        <v>422</v>
      </c>
    </row>
    <row r="177" spans="1:11" ht="42" customHeight="1">
      <c r="A177" s="70" t="s">
        <v>509</v>
      </c>
      <c r="B177" s="70"/>
      <c r="C177" s="70"/>
      <c r="D177" s="70"/>
      <c r="E177" s="70"/>
      <c r="F177" s="70"/>
      <c r="G177" s="70"/>
      <c r="H177" s="70"/>
      <c r="I177" s="70"/>
      <c r="J177" s="56"/>
      <c r="K177" s="57"/>
    </row>
    <row r="178" spans="1:11" ht="42" customHeight="1">
      <c r="A178" s="6">
        <v>74</v>
      </c>
      <c r="B178" s="6">
        <v>754</v>
      </c>
      <c r="C178" s="6">
        <v>75411</v>
      </c>
      <c r="D178" s="6" t="s">
        <v>308</v>
      </c>
      <c r="E178" s="30" t="s">
        <v>365</v>
      </c>
      <c r="F178" s="5">
        <f>6121.23+0.01</f>
        <v>6121.24</v>
      </c>
      <c r="G178" s="60"/>
      <c r="H178" s="28">
        <v>0</v>
      </c>
      <c r="I178" s="42">
        <f>H178/F178</f>
        <v>0</v>
      </c>
      <c r="J178" s="56" t="s">
        <v>11</v>
      </c>
      <c r="K178" s="57">
        <v>2017</v>
      </c>
    </row>
    <row r="179" spans="1:11" ht="42" customHeight="1">
      <c r="A179" s="71" t="s">
        <v>595</v>
      </c>
      <c r="B179" s="70"/>
      <c r="C179" s="70"/>
      <c r="D179" s="70"/>
      <c r="E179" s="70"/>
      <c r="F179" s="70"/>
      <c r="G179" s="70"/>
      <c r="H179" s="70"/>
      <c r="I179" s="70"/>
      <c r="J179" s="56"/>
      <c r="K179" s="57"/>
    </row>
    <row r="180" spans="1:11" ht="42" customHeight="1">
      <c r="A180" s="6">
        <v>75</v>
      </c>
      <c r="B180" s="6">
        <v>754</v>
      </c>
      <c r="C180" s="6">
        <v>75411</v>
      </c>
      <c r="D180" s="6" t="s">
        <v>309</v>
      </c>
      <c r="E180" s="4" t="s">
        <v>364</v>
      </c>
      <c r="F180" s="5">
        <f>26430-0.01</f>
        <v>26429.99</v>
      </c>
      <c r="G180" s="60"/>
      <c r="H180" s="28">
        <v>26429.99</v>
      </c>
      <c r="I180" s="42">
        <f>H180/F180</f>
        <v>1</v>
      </c>
      <c r="J180" s="56" t="s">
        <v>11</v>
      </c>
      <c r="K180" s="57">
        <v>2017</v>
      </c>
    </row>
    <row r="181" spans="1:11" ht="42" customHeight="1">
      <c r="A181" s="70" t="s">
        <v>545</v>
      </c>
      <c r="B181" s="70"/>
      <c r="C181" s="70"/>
      <c r="D181" s="70"/>
      <c r="E181" s="70"/>
      <c r="F181" s="70"/>
      <c r="G181" s="70"/>
      <c r="H181" s="70"/>
      <c r="I181" s="70"/>
      <c r="J181" s="56"/>
      <c r="K181" s="57"/>
    </row>
    <row r="182" spans="1:11" ht="42" customHeight="1">
      <c r="A182" s="73" t="s">
        <v>373</v>
      </c>
      <c r="B182" s="73"/>
      <c r="C182" s="73"/>
      <c r="D182" s="73"/>
      <c r="E182" s="73"/>
      <c r="F182" s="14">
        <f>F183</f>
        <v>16000</v>
      </c>
      <c r="G182" s="14">
        <f>G183</f>
        <v>0</v>
      </c>
      <c r="H182" s="14">
        <f>H183</f>
        <v>15910.94</v>
      </c>
      <c r="I182" s="47">
        <f>H182/F182</f>
        <v>0.99443375</v>
      </c>
      <c r="J182" s="56"/>
      <c r="K182" s="57"/>
    </row>
    <row r="183" spans="1:11" ht="42" customHeight="1">
      <c r="A183" s="6">
        <v>76</v>
      </c>
      <c r="B183" s="6">
        <v>754</v>
      </c>
      <c r="C183" s="6">
        <v>75412</v>
      </c>
      <c r="D183" s="6" t="s">
        <v>374</v>
      </c>
      <c r="E183" s="4" t="s">
        <v>375</v>
      </c>
      <c r="F183" s="5">
        <v>16000</v>
      </c>
      <c r="G183" s="60"/>
      <c r="H183" s="28">
        <v>15910.94</v>
      </c>
      <c r="I183" s="42">
        <f>H183/F183</f>
        <v>0.99443375</v>
      </c>
      <c r="J183" s="56" t="s">
        <v>11</v>
      </c>
      <c r="K183" s="57">
        <v>2017</v>
      </c>
    </row>
    <row r="184" spans="1:11" ht="39.75" customHeight="1">
      <c r="A184" s="70" t="s">
        <v>499</v>
      </c>
      <c r="B184" s="70"/>
      <c r="C184" s="70"/>
      <c r="D184" s="70"/>
      <c r="E184" s="70"/>
      <c r="F184" s="70"/>
      <c r="G184" s="70"/>
      <c r="H184" s="70"/>
      <c r="I184" s="70"/>
      <c r="J184" s="56"/>
      <c r="K184" s="57"/>
    </row>
    <row r="185" spans="1:11" ht="38.25" customHeight="1">
      <c r="A185" s="73" t="s">
        <v>90</v>
      </c>
      <c r="B185" s="73"/>
      <c r="C185" s="73"/>
      <c r="D185" s="73"/>
      <c r="E185" s="73"/>
      <c r="F185" s="14">
        <f>F186</f>
        <v>2264.429999999993</v>
      </c>
      <c r="G185" s="14" t="str">
        <f>G186</f>
        <v>R</v>
      </c>
      <c r="H185" s="14">
        <f>H186</f>
        <v>2264.43</v>
      </c>
      <c r="I185" s="47">
        <f>H185/F185</f>
        <v>1.000000000000003</v>
      </c>
      <c r="J185" s="56"/>
      <c r="K185" s="57"/>
    </row>
    <row r="186" spans="1:11" ht="45" customHeight="1">
      <c r="A186" s="3">
        <v>77</v>
      </c>
      <c r="B186" s="3">
        <v>754</v>
      </c>
      <c r="C186" s="3">
        <v>75414</v>
      </c>
      <c r="D186" s="3" t="s">
        <v>91</v>
      </c>
      <c r="E186" s="10" t="s">
        <v>92</v>
      </c>
      <c r="F186" s="29">
        <f>296055-100395.57+2124-195519</f>
        <v>2264.429999999993</v>
      </c>
      <c r="G186" s="41" t="s">
        <v>11</v>
      </c>
      <c r="H186" s="26">
        <v>2264.43</v>
      </c>
      <c r="I186" s="41">
        <f>H186/F186</f>
        <v>1.000000000000003</v>
      </c>
      <c r="J186" s="56" t="s">
        <v>516</v>
      </c>
      <c r="K186" s="57" t="s">
        <v>418</v>
      </c>
    </row>
    <row r="187" spans="1:11" ht="36.75" customHeight="1">
      <c r="A187" s="71" t="s">
        <v>546</v>
      </c>
      <c r="B187" s="71"/>
      <c r="C187" s="71"/>
      <c r="D187" s="71"/>
      <c r="E187" s="71"/>
      <c r="F187" s="71"/>
      <c r="G187" s="71"/>
      <c r="H187" s="71"/>
      <c r="I187" s="71"/>
      <c r="J187" s="56"/>
      <c r="K187" s="57"/>
    </row>
    <row r="188" spans="1:11" ht="48" customHeight="1">
      <c r="A188" s="73" t="s">
        <v>348</v>
      </c>
      <c r="B188" s="73"/>
      <c r="C188" s="73"/>
      <c r="D188" s="73"/>
      <c r="E188" s="73"/>
      <c r="F188" s="14">
        <f>F189</f>
        <v>70000</v>
      </c>
      <c r="G188" s="14">
        <f>G189</f>
        <v>0</v>
      </c>
      <c r="H188" s="14">
        <f>H189</f>
        <v>25000</v>
      </c>
      <c r="I188" s="47">
        <f>H188/F188</f>
        <v>0.35714285714285715</v>
      </c>
      <c r="J188" s="56"/>
      <c r="K188" s="57"/>
    </row>
    <row r="189" spans="1:11" ht="45.75" customHeight="1">
      <c r="A189" s="6">
        <v>78</v>
      </c>
      <c r="B189" s="6">
        <v>754</v>
      </c>
      <c r="C189" s="6">
        <v>75416</v>
      </c>
      <c r="D189" s="6" t="s">
        <v>349</v>
      </c>
      <c r="E189" s="30" t="s">
        <v>350</v>
      </c>
      <c r="F189" s="5">
        <v>70000</v>
      </c>
      <c r="G189" s="60"/>
      <c r="H189" s="28">
        <v>25000</v>
      </c>
      <c r="I189" s="42">
        <f>H189/F189</f>
        <v>0.35714285714285715</v>
      </c>
      <c r="J189" s="56" t="s">
        <v>16</v>
      </c>
      <c r="K189" s="57" t="s">
        <v>416</v>
      </c>
    </row>
    <row r="190" spans="1:11" ht="45.75" customHeight="1">
      <c r="A190" s="79" t="s">
        <v>548</v>
      </c>
      <c r="B190" s="70"/>
      <c r="C190" s="70"/>
      <c r="D190" s="70"/>
      <c r="E190" s="70"/>
      <c r="F190" s="70"/>
      <c r="G190" s="70"/>
      <c r="H190" s="70"/>
      <c r="I190" s="70"/>
      <c r="J190" s="56"/>
      <c r="K190" s="57"/>
    </row>
    <row r="191" spans="1:11" ht="43.5" customHeight="1">
      <c r="A191" s="73" t="s">
        <v>93</v>
      </c>
      <c r="B191" s="73"/>
      <c r="C191" s="73"/>
      <c r="D191" s="73"/>
      <c r="E191" s="73"/>
      <c r="F191" s="14">
        <f>F192+F226+F243+F250+F253+F223</f>
        <v>13404895.21</v>
      </c>
      <c r="G191" s="14" t="e">
        <f>G192+G226+G243+G250+G253+G223</f>
        <v>#VALUE!</v>
      </c>
      <c r="H191" s="14">
        <f>H192+H226+H243+H250+H253+H223</f>
        <v>12838159.220000003</v>
      </c>
      <c r="I191" s="47">
        <f>H191/F191</f>
        <v>0.9577217142602341</v>
      </c>
      <c r="J191" s="56"/>
      <c r="K191" s="57"/>
    </row>
    <row r="192" spans="1:11" ht="43.5" customHeight="1">
      <c r="A192" s="73" t="s">
        <v>94</v>
      </c>
      <c r="B192" s="73"/>
      <c r="C192" s="73"/>
      <c r="D192" s="73"/>
      <c r="E192" s="73"/>
      <c r="F192" s="14">
        <f>F193+F195+F197+F199+F201+F203+F205+F209+F211+F213+F215+F217+F219+F221+F207</f>
        <v>4443152.8100000005</v>
      </c>
      <c r="G192" s="14" t="e">
        <f>G193+G195+G197+G199+G201+G203+G205+G209+G211+G213+G215+G217+G219+G221+G207</f>
        <v>#VALUE!</v>
      </c>
      <c r="H192" s="14">
        <f>H193+H195+H197+H199+H201+H203+H205+H209+H211+H213+H215+H217+H219+H221+H207</f>
        <v>4247849.1</v>
      </c>
      <c r="I192" s="47">
        <f>H192/F192</f>
        <v>0.9560438908244524</v>
      </c>
      <c r="J192" s="56"/>
      <c r="K192" s="57"/>
    </row>
    <row r="193" spans="1:11" ht="35.25" customHeight="1">
      <c r="A193" s="3">
        <v>79</v>
      </c>
      <c r="B193" s="3">
        <v>801</v>
      </c>
      <c r="C193" s="3">
        <v>80101</v>
      </c>
      <c r="D193" s="3" t="s">
        <v>95</v>
      </c>
      <c r="E193" s="10" t="s">
        <v>96</v>
      </c>
      <c r="F193" s="29">
        <f>3802400+19557-1037000+100000+10000</f>
        <v>2894957</v>
      </c>
      <c r="G193" s="41" t="s">
        <v>16</v>
      </c>
      <c r="H193" s="26">
        <v>2893494.01</v>
      </c>
      <c r="I193" s="41">
        <f>H193/F193</f>
        <v>0.9994946418893268</v>
      </c>
      <c r="J193" s="56" t="s">
        <v>414</v>
      </c>
      <c r="K193" s="57" t="s">
        <v>412</v>
      </c>
    </row>
    <row r="194" spans="1:11" ht="42.75" customHeight="1">
      <c r="A194" s="70" t="s">
        <v>596</v>
      </c>
      <c r="B194" s="70"/>
      <c r="C194" s="70"/>
      <c r="D194" s="70"/>
      <c r="E194" s="70"/>
      <c r="F194" s="70"/>
      <c r="G194" s="70"/>
      <c r="H194" s="70"/>
      <c r="I194" s="70"/>
      <c r="J194" s="56"/>
      <c r="K194" s="57"/>
    </row>
    <row r="195" spans="1:11" ht="35.25" customHeight="1">
      <c r="A195" s="6">
        <v>80</v>
      </c>
      <c r="B195" s="6">
        <v>801</v>
      </c>
      <c r="C195" s="6">
        <v>80101</v>
      </c>
      <c r="D195" s="6" t="s">
        <v>97</v>
      </c>
      <c r="E195" s="30" t="s">
        <v>218</v>
      </c>
      <c r="F195" s="5">
        <f>400000+369775-57500-20102.04</f>
        <v>692172.96</v>
      </c>
      <c r="G195" s="60"/>
      <c r="H195" s="28">
        <v>684842.2</v>
      </c>
      <c r="I195" s="42">
        <f>H195/F195</f>
        <v>0.9894090633069514</v>
      </c>
      <c r="J195" s="56" t="s">
        <v>11</v>
      </c>
      <c r="K195" s="57">
        <v>2017</v>
      </c>
    </row>
    <row r="196" spans="1:11" ht="48" customHeight="1">
      <c r="A196" s="70" t="s">
        <v>476</v>
      </c>
      <c r="B196" s="70"/>
      <c r="C196" s="70"/>
      <c r="D196" s="70"/>
      <c r="E196" s="70"/>
      <c r="F196" s="70"/>
      <c r="G196" s="70"/>
      <c r="H196" s="70"/>
      <c r="I196" s="70"/>
      <c r="J196" s="56"/>
      <c r="K196" s="57"/>
    </row>
    <row r="197" spans="1:11" ht="41.25" customHeight="1">
      <c r="A197" s="6">
        <v>81</v>
      </c>
      <c r="B197" s="6">
        <v>801</v>
      </c>
      <c r="C197" s="6">
        <v>80101</v>
      </c>
      <c r="D197" s="6" t="s">
        <v>228</v>
      </c>
      <c r="E197" s="4" t="s">
        <v>220</v>
      </c>
      <c r="F197" s="5">
        <f>50000+70175.17-115316.67</f>
        <v>4858.5</v>
      </c>
      <c r="G197" s="60"/>
      <c r="H197" s="28">
        <v>4858.5</v>
      </c>
      <c r="I197" s="42">
        <f>H197/F197</f>
        <v>1</v>
      </c>
      <c r="J197" s="56" t="s">
        <v>11</v>
      </c>
      <c r="K197" s="57">
        <v>2017</v>
      </c>
    </row>
    <row r="198" spans="1:11" ht="38.25" customHeight="1">
      <c r="A198" s="70" t="s">
        <v>489</v>
      </c>
      <c r="B198" s="70"/>
      <c r="C198" s="70"/>
      <c r="D198" s="70"/>
      <c r="E198" s="70"/>
      <c r="F198" s="70"/>
      <c r="G198" s="70"/>
      <c r="H198" s="70"/>
      <c r="I198" s="70"/>
      <c r="J198" s="56"/>
      <c r="K198" s="57"/>
    </row>
    <row r="199" spans="1:11" ht="41.25" customHeight="1">
      <c r="A199" s="6">
        <v>82</v>
      </c>
      <c r="B199" s="6">
        <v>801</v>
      </c>
      <c r="C199" s="6">
        <v>80101</v>
      </c>
      <c r="D199" s="6" t="s">
        <v>490</v>
      </c>
      <c r="E199" s="4" t="s">
        <v>219</v>
      </c>
      <c r="F199" s="5">
        <f>1200000-550000-321037.32</f>
        <v>328962.68</v>
      </c>
      <c r="G199" s="60"/>
      <c r="H199" s="28">
        <v>154457</v>
      </c>
      <c r="I199" s="42">
        <f>H199/F199</f>
        <v>0.46952742481305176</v>
      </c>
      <c r="J199" s="56" t="s">
        <v>16</v>
      </c>
      <c r="K199" s="57" t="s">
        <v>416</v>
      </c>
    </row>
    <row r="200" spans="1:11" ht="66" customHeight="1">
      <c r="A200" s="70" t="s">
        <v>547</v>
      </c>
      <c r="B200" s="70"/>
      <c r="C200" s="70"/>
      <c r="D200" s="70"/>
      <c r="E200" s="70"/>
      <c r="F200" s="70"/>
      <c r="G200" s="70"/>
      <c r="H200" s="70"/>
      <c r="I200" s="70"/>
      <c r="J200" s="56"/>
      <c r="K200" s="57"/>
    </row>
    <row r="201" spans="1:11" ht="41.25" customHeight="1">
      <c r="A201" s="6">
        <v>83</v>
      </c>
      <c r="B201" s="6">
        <v>801</v>
      </c>
      <c r="C201" s="6">
        <v>80101</v>
      </c>
      <c r="D201" s="6" t="s">
        <v>298</v>
      </c>
      <c r="E201" s="4" t="s">
        <v>299</v>
      </c>
      <c r="F201" s="5">
        <f>311299-25741</f>
        <v>285558</v>
      </c>
      <c r="G201" s="60"/>
      <c r="H201" s="28">
        <v>285047.78</v>
      </c>
      <c r="I201" s="42">
        <f>H201/F201</f>
        <v>0.9982132526491992</v>
      </c>
      <c r="J201" s="56" t="s">
        <v>11</v>
      </c>
      <c r="K201" s="57">
        <v>2017</v>
      </c>
    </row>
    <row r="202" spans="1:11" ht="39.75" customHeight="1">
      <c r="A202" s="70" t="s">
        <v>549</v>
      </c>
      <c r="B202" s="70"/>
      <c r="C202" s="70"/>
      <c r="D202" s="70"/>
      <c r="E202" s="70"/>
      <c r="F202" s="70"/>
      <c r="G202" s="70"/>
      <c r="H202" s="70"/>
      <c r="I202" s="70"/>
      <c r="J202" s="56"/>
      <c r="K202" s="57"/>
    </row>
    <row r="203" spans="1:11" ht="41.25" customHeight="1">
      <c r="A203" s="6">
        <v>84</v>
      </c>
      <c r="B203" s="6">
        <v>801</v>
      </c>
      <c r="C203" s="6">
        <v>80101</v>
      </c>
      <c r="D203" s="6" t="s">
        <v>351</v>
      </c>
      <c r="E203" s="4" t="s">
        <v>352</v>
      </c>
      <c r="F203" s="5">
        <f>115316.67-21000-18250</f>
        <v>76066.67</v>
      </c>
      <c r="G203" s="60"/>
      <c r="H203" s="28">
        <v>65190</v>
      </c>
      <c r="I203" s="42">
        <f>H203/F203</f>
        <v>0.8570113559591869</v>
      </c>
      <c r="J203" s="56" t="s">
        <v>11</v>
      </c>
      <c r="K203" s="57">
        <v>2017</v>
      </c>
    </row>
    <row r="204" spans="1:11" ht="51.75" customHeight="1">
      <c r="A204" s="70" t="s">
        <v>550</v>
      </c>
      <c r="B204" s="70"/>
      <c r="C204" s="70"/>
      <c r="D204" s="70"/>
      <c r="E204" s="70"/>
      <c r="F204" s="70"/>
      <c r="G204" s="70"/>
      <c r="H204" s="70"/>
      <c r="I204" s="70"/>
      <c r="J204" s="56"/>
      <c r="K204" s="57"/>
    </row>
    <row r="205" spans="1:11" ht="42" customHeight="1">
      <c r="A205" s="6">
        <v>85</v>
      </c>
      <c r="B205" s="6">
        <v>801</v>
      </c>
      <c r="C205" s="6">
        <v>80101</v>
      </c>
      <c r="D205" s="6" t="s">
        <v>104</v>
      </c>
      <c r="E205" s="19" t="s">
        <v>376</v>
      </c>
      <c r="F205" s="5">
        <f>700000-684000</f>
        <v>16000</v>
      </c>
      <c r="G205" s="60"/>
      <c r="H205" s="28">
        <v>15469.71</v>
      </c>
      <c r="I205" s="42">
        <f>H205/F205</f>
        <v>0.966856875</v>
      </c>
      <c r="J205" s="56" t="s">
        <v>16</v>
      </c>
      <c r="K205" s="57" t="s">
        <v>416</v>
      </c>
    </row>
    <row r="206" spans="1:11" ht="41.25" customHeight="1">
      <c r="A206" s="71" t="s">
        <v>551</v>
      </c>
      <c r="B206" s="71"/>
      <c r="C206" s="71"/>
      <c r="D206" s="71"/>
      <c r="E206" s="71"/>
      <c r="F206" s="71"/>
      <c r="G206" s="71"/>
      <c r="H206" s="71"/>
      <c r="I206" s="71"/>
      <c r="J206" s="56"/>
      <c r="K206" s="57"/>
    </row>
    <row r="207" spans="1:11" ht="41.25" customHeight="1">
      <c r="A207" s="11">
        <v>86</v>
      </c>
      <c r="B207" s="6">
        <v>801</v>
      </c>
      <c r="C207" s="6">
        <v>80101</v>
      </c>
      <c r="D207" s="6" t="s">
        <v>394</v>
      </c>
      <c r="E207" s="4" t="s">
        <v>395</v>
      </c>
      <c r="F207" s="5">
        <v>66500</v>
      </c>
      <c r="G207" s="60"/>
      <c r="H207" s="28">
        <v>66500</v>
      </c>
      <c r="I207" s="42">
        <f>H207/F207</f>
        <v>1</v>
      </c>
      <c r="J207" s="56" t="s">
        <v>11</v>
      </c>
      <c r="K207" s="57" t="s">
        <v>417</v>
      </c>
    </row>
    <row r="208" spans="1:11" ht="41.25" customHeight="1">
      <c r="A208" s="71" t="s">
        <v>488</v>
      </c>
      <c r="B208" s="71"/>
      <c r="C208" s="71"/>
      <c r="D208" s="71"/>
      <c r="E208" s="71"/>
      <c r="F208" s="71"/>
      <c r="G208" s="71"/>
      <c r="H208" s="71"/>
      <c r="I208" s="71"/>
      <c r="J208" s="56"/>
      <c r="K208" s="57"/>
    </row>
    <row r="209" spans="1:11" ht="41.25" customHeight="1">
      <c r="A209" s="6">
        <v>87</v>
      </c>
      <c r="B209" s="6">
        <v>801</v>
      </c>
      <c r="C209" s="6">
        <v>80101</v>
      </c>
      <c r="D209" s="6" t="s">
        <v>259</v>
      </c>
      <c r="E209" s="4" t="s">
        <v>260</v>
      </c>
      <c r="F209" s="5">
        <f>8200-1212</f>
        <v>6988</v>
      </c>
      <c r="G209" s="60"/>
      <c r="H209" s="28">
        <v>6988</v>
      </c>
      <c r="I209" s="42">
        <f>H209/F209</f>
        <v>1</v>
      </c>
      <c r="J209" s="56" t="s">
        <v>11</v>
      </c>
      <c r="K209" s="57">
        <v>2017</v>
      </c>
    </row>
    <row r="210" spans="1:11" ht="41.25" customHeight="1">
      <c r="A210" s="70" t="s">
        <v>432</v>
      </c>
      <c r="B210" s="70"/>
      <c r="C210" s="70"/>
      <c r="D210" s="70"/>
      <c r="E210" s="70"/>
      <c r="F210" s="70"/>
      <c r="G210" s="70"/>
      <c r="H210" s="70"/>
      <c r="I210" s="70"/>
      <c r="J210" s="56"/>
      <c r="K210" s="57"/>
    </row>
    <row r="211" spans="1:11" ht="41.25" customHeight="1">
      <c r="A211" s="6">
        <v>88</v>
      </c>
      <c r="B211" s="6">
        <v>801</v>
      </c>
      <c r="C211" s="6">
        <v>80101</v>
      </c>
      <c r="D211" s="6" t="s">
        <v>366</v>
      </c>
      <c r="E211" s="4" t="s">
        <v>367</v>
      </c>
      <c r="F211" s="5">
        <f>9400-3380</f>
        <v>6020</v>
      </c>
      <c r="G211" s="60"/>
      <c r="H211" s="28">
        <v>6020</v>
      </c>
      <c r="I211" s="42">
        <f>H211/F211</f>
        <v>1</v>
      </c>
      <c r="J211" s="56" t="s">
        <v>11</v>
      </c>
      <c r="K211" s="57">
        <v>2017</v>
      </c>
    </row>
    <row r="212" spans="1:11" ht="41.25" customHeight="1">
      <c r="A212" s="70" t="s">
        <v>433</v>
      </c>
      <c r="B212" s="70"/>
      <c r="C212" s="70"/>
      <c r="D212" s="70"/>
      <c r="E212" s="70"/>
      <c r="F212" s="70"/>
      <c r="G212" s="70"/>
      <c r="H212" s="70"/>
      <c r="I212" s="70"/>
      <c r="J212" s="56"/>
      <c r="K212" s="57"/>
    </row>
    <row r="213" spans="1:11" ht="41.25" customHeight="1">
      <c r="A213" s="6">
        <v>89</v>
      </c>
      <c r="B213" s="6">
        <v>801</v>
      </c>
      <c r="C213" s="6">
        <v>80101</v>
      </c>
      <c r="D213" s="6" t="s">
        <v>314</v>
      </c>
      <c r="E213" s="4" t="s">
        <v>315</v>
      </c>
      <c r="F213" s="5">
        <v>7000</v>
      </c>
      <c r="G213" s="60"/>
      <c r="H213" s="28">
        <v>6950</v>
      </c>
      <c r="I213" s="42">
        <f>H213/F213</f>
        <v>0.9928571428571429</v>
      </c>
      <c r="J213" s="56" t="s">
        <v>11</v>
      </c>
      <c r="K213" s="57">
        <v>2017</v>
      </c>
    </row>
    <row r="214" spans="1:11" ht="41.25" customHeight="1">
      <c r="A214" s="70" t="s">
        <v>434</v>
      </c>
      <c r="B214" s="70"/>
      <c r="C214" s="70"/>
      <c r="D214" s="70"/>
      <c r="E214" s="70"/>
      <c r="F214" s="70"/>
      <c r="G214" s="70"/>
      <c r="H214" s="70"/>
      <c r="I214" s="70"/>
      <c r="J214" s="56"/>
      <c r="K214" s="57"/>
    </row>
    <row r="215" spans="1:11" ht="41.25" customHeight="1">
      <c r="A215" s="6">
        <v>90</v>
      </c>
      <c r="B215" s="6">
        <v>801</v>
      </c>
      <c r="C215" s="6">
        <v>80101</v>
      </c>
      <c r="D215" s="6" t="s">
        <v>310</v>
      </c>
      <c r="E215" s="4" t="s">
        <v>311</v>
      </c>
      <c r="F215" s="5">
        <v>10000</v>
      </c>
      <c r="G215" s="60"/>
      <c r="H215" s="28">
        <v>9963</v>
      </c>
      <c r="I215" s="42">
        <f>H215/F215</f>
        <v>0.9963</v>
      </c>
      <c r="J215" s="56" t="s">
        <v>11</v>
      </c>
      <c r="K215" s="57">
        <v>2017</v>
      </c>
    </row>
    <row r="216" spans="1:11" ht="41.25" customHeight="1">
      <c r="A216" s="70" t="s">
        <v>435</v>
      </c>
      <c r="B216" s="70"/>
      <c r="C216" s="70"/>
      <c r="D216" s="70"/>
      <c r="E216" s="70"/>
      <c r="F216" s="70"/>
      <c r="G216" s="70"/>
      <c r="H216" s="70"/>
      <c r="I216" s="70"/>
      <c r="J216" s="56"/>
      <c r="K216" s="57"/>
    </row>
    <row r="217" spans="1:11" ht="41.25" customHeight="1">
      <c r="A217" s="6">
        <v>91</v>
      </c>
      <c r="B217" s="6">
        <v>801</v>
      </c>
      <c r="C217" s="6">
        <v>80101</v>
      </c>
      <c r="D217" s="6" t="s">
        <v>312</v>
      </c>
      <c r="E217" s="4" t="s">
        <v>313</v>
      </c>
      <c r="F217" s="5">
        <v>10000</v>
      </c>
      <c r="G217" s="60"/>
      <c r="H217" s="28">
        <v>9999.9</v>
      </c>
      <c r="I217" s="42">
        <v>0.9999</v>
      </c>
      <c r="J217" s="56" t="s">
        <v>11</v>
      </c>
      <c r="K217" s="57">
        <v>2017</v>
      </c>
    </row>
    <row r="218" spans="1:11" ht="41.25" customHeight="1">
      <c r="A218" s="70" t="s">
        <v>436</v>
      </c>
      <c r="B218" s="70"/>
      <c r="C218" s="70"/>
      <c r="D218" s="70"/>
      <c r="E218" s="70"/>
      <c r="F218" s="70"/>
      <c r="G218" s="70"/>
      <c r="H218" s="70"/>
      <c r="I218" s="70"/>
      <c r="J218" s="56"/>
      <c r="K218" s="57"/>
    </row>
    <row r="219" spans="1:11" ht="41.25" customHeight="1">
      <c r="A219" s="6">
        <v>92</v>
      </c>
      <c r="B219" s="6">
        <v>801</v>
      </c>
      <c r="C219" s="6">
        <v>80101</v>
      </c>
      <c r="D219" s="6" t="s">
        <v>281</v>
      </c>
      <c r="E219" s="4" t="s">
        <v>282</v>
      </c>
      <c r="F219" s="5">
        <f>35000-2931</f>
        <v>32069</v>
      </c>
      <c r="G219" s="60"/>
      <c r="H219" s="28">
        <v>32069</v>
      </c>
      <c r="I219" s="42">
        <f>H219/F219</f>
        <v>1</v>
      </c>
      <c r="J219" s="56" t="s">
        <v>11</v>
      </c>
      <c r="K219" s="57">
        <v>2017</v>
      </c>
    </row>
    <row r="220" spans="1:11" ht="41.25" customHeight="1">
      <c r="A220" s="70" t="s">
        <v>437</v>
      </c>
      <c r="B220" s="70"/>
      <c r="C220" s="70"/>
      <c r="D220" s="70"/>
      <c r="E220" s="70"/>
      <c r="F220" s="70"/>
      <c r="G220" s="70"/>
      <c r="H220" s="70"/>
      <c r="I220" s="70"/>
      <c r="J220" s="56"/>
      <c r="K220" s="57"/>
    </row>
    <row r="221" spans="1:11" ht="41.25" customHeight="1">
      <c r="A221" s="6">
        <v>93</v>
      </c>
      <c r="B221" s="6">
        <v>801</v>
      </c>
      <c r="C221" s="6">
        <v>80101</v>
      </c>
      <c r="D221" s="6" t="s">
        <v>377</v>
      </c>
      <c r="E221" s="4" t="s">
        <v>378</v>
      </c>
      <c r="F221" s="5">
        <v>6000</v>
      </c>
      <c r="G221" s="60"/>
      <c r="H221" s="28">
        <v>6000</v>
      </c>
      <c r="I221" s="42">
        <f>H221/F221</f>
        <v>1</v>
      </c>
      <c r="J221" s="56" t="s">
        <v>11</v>
      </c>
      <c r="K221" s="57">
        <v>2017</v>
      </c>
    </row>
    <row r="222" spans="1:11" ht="41.25" customHeight="1">
      <c r="A222" s="70" t="s">
        <v>438</v>
      </c>
      <c r="B222" s="70"/>
      <c r="C222" s="70"/>
      <c r="D222" s="70"/>
      <c r="E222" s="70"/>
      <c r="F222" s="70"/>
      <c r="G222" s="70"/>
      <c r="H222" s="70"/>
      <c r="I222" s="70"/>
      <c r="J222" s="56"/>
      <c r="K222" s="57"/>
    </row>
    <row r="223" spans="1:11" ht="41.25" customHeight="1">
      <c r="A223" s="73" t="s">
        <v>353</v>
      </c>
      <c r="B223" s="73"/>
      <c r="C223" s="73"/>
      <c r="D223" s="73"/>
      <c r="E223" s="73"/>
      <c r="F223" s="14">
        <f>F224</f>
        <v>178050</v>
      </c>
      <c r="G223" s="14">
        <f>G224</f>
        <v>0</v>
      </c>
      <c r="H223" s="14">
        <f>H224</f>
        <v>0</v>
      </c>
      <c r="I223" s="47">
        <f>H223/F223</f>
        <v>0</v>
      </c>
      <c r="J223" s="56"/>
      <c r="K223" s="57"/>
    </row>
    <row r="224" spans="1:11" ht="41.25" customHeight="1">
      <c r="A224" s="6">
        <v>94</v>
      </c>
      <c r="B224" s="6">
        <v>801</v>
      </c>
      <c r="C224" s="6">
        <v>80102</v>
      </c>
      <c r="D224" s="6" t="s">
        <v>354</v>
      </c>
      <c r="E224" s="4" t="s">
        <v>355</v>
      </c>
      <c r="F224" s="5">
        <f>320000+18250-160200</f>
        <v>178050</v>
      </c>
      <c r="G224" s="60"/>
      <c r="H224" s="48">
        <v>0</v>
      </c>
      <c r="I224" s="42">
        <f>H224/F224</f>
        <v>0</v>
      </c>
      <c r="J224" s="56" t="s">
        <v>11</v>
      </c>
      <c r="K224" s="57">
        <v>2017</v>
      </c>
    </row>
    <row r="225" spans="1:11" ht="41.25" customHeight="1">
      <c r="A225" s="71" t="s">
        <v>500</v>
      </c>
      <c r="B225" s="79"/>
      <c r="C225" s="79"/>
      <c r="D225" s="79"/>
      <c r="E225" s="79"/>
      <c r="F225" s="79"/>
      <c r="G225" s="79"/>
      <c r="H225" s="79"/>
      <c r="I225" s="79"/>
      <c r="J225" s="56"/>
      <c r="K225" s="57"/>
    </row>
    <row r="226" spans="1:11" ht="37.5" customHeight="1">
      <c r="A226" s="73" t="s">
        <v>98</v>
      </c>
      <c r="B226" s="73"/>
      <c r="C226" s="73"/>
      <c r="D226" s="73"/>
      <c r="E226" s="73"/>
      <c r="F226" s="14">
        <f>F227+F229+F2+F24420+F233+F235+F237+F239+F241+F231</f>
        <v>6656100.9</v>
      </c>
      <c r="G226" s="14" t="e">
        <f>G227+G229+G2+G24420+G233+G235+G237+G239+G241+G231</f>
        <v>#VALUE!</v>
      </c>
      <c r="H226" s="14">
        <f>H227+H229+H2+H24420+H233+H235+H237+H239+H241+H231</f>
        <v>6561794.290000001</v>
      </c>
      <c r="I226" s="47">
        <f>H226/F226</f>
        <v>0.9858315534249189</v>
      </c>
      <c r="J226" s="56"/>
      <c r="K226" s="57"/>
    </row>
    <row r="227" spans="1:11" ht="39" customHeight="1">
      <c r="A227" s="3">
        <v>95</v>
      </c>
      <c r="B227" s="3">
        <v>801</v>
      </c>
      <c r="C227" s="3">
        <v>80104</v>
      </c>
      <c r="D227" s="3" t="s">
        <v>99</v>
      </c>
      <c r="E227" s="10" t="s">
        <v>100</v>
      </c>
      <c r="F227" s="29">
        <f>160000+50000</f>
        <v>210000</v>
      </c>
      <c r="G227" s="41" t="s">
        <v>16</v>
      </c>
      <c r="H227" s="26">
        <v>194881.03</v>
      </c>
      <c r="I227" s="41">
        <f>H227/F227</f>
        <v>0.9280049047619048</v>
      </c>
      <c r="J227" s="56" t="s">
        <v>16</v>
      </c>
      <c r="K227" s="57" t="s">
        <v>412</v>
      </c>
    </row>
    <row r="228" spans="1:11" ht="39.75" customHeight="1">
      <c r="A228" s="70" t="s">
        <v>487</v>
      </c>
      <c r="B228" s="70"/>
      <c r="C228" s="70"/>
      <c r="D228" s="70"/>
      <c r="E228" s="70"/>
      <c r="F228" s="70"/>
      <c r="G228" s="70"/>
      <c r="H228" s="70"/>
      <c r="I228" s="70"/>
      <c r="J228" s="56"/>
      <c r="K228" s="57"/>
    </row>
    <row r="229" spans="1:11" ht="45" customHeight="1">
      <c r="A229" s="3">
        <v>96</v>
      </c>
      <c r="B229" s="3">
        <v>801</v>
      </c>
      <c r="C229" s="3">
        <v>80104</v>
      </c>
      <c r="D229" s="3" t="s">
        <v>101</v>
      </c>
      <c r="E229" s="10" t="s">
        <v>102</v>
      </c>
      <c r="F229" s="29">
        <f>5341789.42+687968.98+350000-200000+60000</f>
        <v>6239758.4</v>
      </c>
      <c r="G229" s="41" t="s">
        <v>16</v>
      </c>
      <c r="H229" s="26">
        <v>6193938.74</v>
      </c>
      <c r="I229" s="41">
        <f>H229/F229</f>
        <v>0.9926568214564204</v>
      </c>
      <c r="J229" s="56" t="s">
        <v>16</v>
      </c>
      <c r="K229" s="57" t="s">
        <v>419</v>
      </c>
    </row>
    <row r="230" spans="1:11" ht="51.75" customHeight="1">
      <c r="A230" s="72" t="s">
        <v>511</v>
      </c>
      <c r="B230" s="72"/>
      <c r="C230" s="72"/>
      <c r="D230" s="72"/>
      <c r="E230" s="72"/>
      <c r="F230" s="72"/>
      <c r="G230" s="72"/>
      <c r="H230" s="72"/>
      <c r="I230" s="72"/>
      <c r="J230" s="56"/>
      <c r="K230" s="57"/>
    </row>
    <row r="231" spans="1:11" ht="42.75" customHeight="1">
      <c r="A231" s="9">
        <v>97</v>
      </c>
      <c r="B231" s="9">
        <v>801</v>
      </c>
      <c r="C231" s="9">
        <v>80104</v>
      </c>
      <c r="D231" s="9" t="s">
        <v>230</v>
      </c>
      <c r="E231" s="33" t="s">
        <v>231</v>
      </c>
      <c r="F231" s="8">
        <v>50000</v>
      </c>
      <c r="G231" s="62"/>
      <c r="H231" s="49">
        <v>22147.06</v>
      </c>
      <c r="I231" s="43">
        <f>H231/F231</f>
        <v>0.44294120000000003</v>
      </c>
      <c r="J231" s="56" t="s">
        <v>11</v>
      </c>
      <c r="K231" s="57">
        <v>2017</v>
      </c>
    </row>
    <row r="232" spans="1:11" ht="48.75" customHeight="1">
      <c r="A232" s="72" t="s">
        <v>486</v>
      </c>
      <c r="B232" s="72"/>
      <c r="C232" s="72"/>
      <c r="D232" s="72"/>
      <c r="E232" s="72"/>
      <c r="F232" s="72"/>
      <c r="G232" s="72"/>
      <c r="H232" s="72"/>
      <c r="I232" s="72"/>
      <c r="J232" s="56"/>
      <c r="K232" s="57"/>
    </row>
    <row r="233" spans="1:11" ht="42.75" customHeight="1">
      <c r="A233" s="9">
        <v>98</v>
      </c>
      <c r="B233" s="9">
        <v>801</v>
      </c>
      <c r="C233" s="9">
        <v>80104</v>
      </c>
      <c r="D233" s="9" t="s">
        <v>261</v>
      </c>
      <c r="E233" s="7" t="s">
        <v>302</v>
      </c>
      <c r="F233" s="8">
        <f>30000+150000-45000</f>
        <v>135000</v>
      </c>
      <c r="G233" s="62"/>
      <c r="H233" s="49">
        <v>129581.32</v>
      </c>
      <c r="I233" s="43">
        <f>H233/F233</f>
        <v>0.9598616296296297</v>
      </c>
      <c r="J233" s="56" t="s">
        <v>16</v>
      </c>
      <c r="K233" s="57" t="s">
        <v>425</v>
      </c>
    </row>
    <row r="234" spans="1:11" ht="39" customHeight="1">
      <c r="A234" s="72" t="s">
        <v>552</v>
      </c>
      <c r="B234" s="72"/>
      <c r="C234" s="72"/>
      <c r="D234" s="72"/>
      <c r="E234" s="72"/>
      <c r="F234" s="72"/>
      <c r="G234" s="72"/>
      <c r="H234" s="72"/>
      <c r="I234" s="72"/>
      <c r="J234" s="56"/>
      <c r="K234" s="57"/>
    </row>
    <row r="235" spans="1:11" ht="42.75" customHeight="1">
      <c r="A235" s="9">
        <v>99</v>
      </c>
      <c r="B235" s="9">
        <v>801</v>
      </c>
      <c r="C235" s="9">
        <v>80104</v>
      </c>
      <c r="D235" s="9" t="s">
        <v>283</v>
      </c>
      <c r="E235" s="7" t="s">
        <v>284</v>
      </c>
      <c r="F235" s="8">
        <v>5842.5</v>
      </c>
      <c r="G235" s="62"/>
      <c r="H235" s="49">
        <v>5842.5</v>
      </c>
      <c r="I235" s="43">
        <f>H235/F235</f>
        <v>1</v>
      </c>
      <c r="J235" s="56" t="s">
        <v>11</v>
      </c>
      <c r="K235" s="57">
        <v>2017</v>
      </c>
    </row>
    <row r="236" spans="1:11" ht="42.75" customHeight="1">
      <c r="A236" s="72" t="s">
        <v>575</v>
      </c>
      <c r="B236" s="72"/>
      <c r="C236" s="72"/>
      <c r="D236" s="72"/>
      <c r="E236" s="72"/>
      <c r="F236" s="72"/>
      <c r="G236" s="72"/>
      <c r="H236" s="72"/>
      <c r="I236" s="72"/>
      <c r="J236" s="56"/>
      <c r="K236" s="57"/>
    </row>
    <row r="237" spans="1:11" ht="37.5" customHeight="1">
      <c r="A237" s="9">
        <v>100</v>
      </c>
      <c r="B237" s="9">
        <v>801</v>
      </c>
      <c r="C237" s="9">
        <v>80104</v>
      </c>
      <c r="D237" s="9" t="s">
        <v>300</v>
      </c>
      <c r="E237" s="7" t="s">
        <v>301</v>
      </c>
      <c r="F237" s="8">
        <v>6400</v>
      </c>
      <c r="G237" s="62"/>
      <c r="H237" s="49">
        <v>6303.65</v>
      </c>
      <c r="I237" s="43">
        <f>H237/F237</f>
        <v>0.9849453125</v>
      </c>
      <c r="J237" s="56" t="s">
        <v>11</v>
      </c>
      <c r="K237" s="57">
        <v>2017</v>
      </c>
    </row>
    <row r="238" spans="1:11" ht="40.5" customHeight="1">
      <c r="A238" s="72" t="s">
        <v>553</v>
      </c>
      <c r="B238" s="72"/>
      <c r="C238" s="72"/>
      <c r="D238" s="72"/>
      <c r="E238" s="72"/>
      <c r="F238" s="72"/>
      <c r="G238" s="72"/>
      <c r="H238" s="72"/>
      <c r="I238" s="72"/>
      <c r="J238" s="56"/>
      <c r="K238" s="57"/>
    </row>
    <row r="239" spans="1:11" ht="42.75" customHeight="1">
      <c r="A239" s="9">
        <v>101</v>
      </c>
      <c r="B239" s="9">
        <v>801</v>
      </c>
      <c r="C239" s="9">
        <v>80104</v>
      </c>
      <c r="D239" s="9" t="s">
        <v>368</v>
      </c>
      <c r="E239" s="7" t="s">
        <v>369</v>
      </c>
      <c r="F239" s="8">
        <v>4300</v>
      </c>
      <c r="G239" s="62"/>
      <c r="H239" s="49">
        <v>4299.99</v>
      </c>
      <c r="I239" s="43">
        <v>0.9999</v>
      </c>
      <c r="J239" s="56" t="s">
        <v>11</v>
      </c>
      <c r="K239" s="57">
        <v>2017</v>
      </c>
    </row>
    <row r="240" spans="1:11" ht="35.25" customHeight="1">
      <c r="A240" s="72" t="s">
        <v>554</v>
      </c>
      <c r="B240" s="72"/>
      <c r="C240" s="72"/>
      <c r="D240" s="72"/>
      <c r="E240" s="72"/>
      <c r="F240" s="72"/>
      <c r="G240" s="72"/>
      <c r="H240" s="72"/>
      <c r="I240" s="72"/>
      <c r="J240" s="56"/>
      <c r="K240" s="57"/>
    </row>
    <row r="241" spans="1:11" ht="42.75" customHeight="1">
      <c r="A241" s="9">
        <v>102</v>
      </c>
      <c r="B241" s="9">
        <v>801</v>
      </c>
      <c r="C241" s="9">
        <v>80104</v>
      </c>
      <c r="D241" s="9" t="s">
        <v>555</v>
      </c>
      <c r="E241" s="7" t="s">
        <v>370</v>
      </c>
      <c r="F241" s="8">
        <v>4800</v>
      </c>
      <c r="G241" s="62"/>
      <c r="H241" s="49">
        <v>4800</v>
      </c>
      <c r="I241" s="43">
        <f>H241/F241</f>
        <v>1</v>
      </c>
      <c r="J241" s="56" t="s">
        <v>11</v>
      </c>
      <c r="K241" s="57">
        <v>2017</v>
      </c>
    </row>
    <row r="242" spans="1:11" ht="42.75" customHeight="1">
      <c r="A242" s="72" t="s">
        <v>439</v>
      </c>
      <c r="B242" s="72"/>
      <c r="C242" s="72"/>
      <c r="D242" s="72"/>
      <c r="E242" s="72"/>
      <c r="F242" s="72"/>
      <c r="G242" s="72"/>
      <c r="H242" s="72"/>
      <c r="I242" s="72"/>
      <c r="J242" s="56"/>
      <c r="K242" s="57"/>
    </row>
    <row r="243" spans="1:11" ht="34.5" customHeight="1">
      <c r="A243" s="75" t="s">
        <v>103</v>
      </c>
      <c r="B243" s="75"/>
      <c r="C243" s="75"/>
      <c r="D243" s="75"/>
      <c r="E243" s="75"/>
      <c r="F243" s="15">
        <f>F244+F246+F248</f>
        <v>407646.04</v>
      </c>
      <c r="G243" s="15">
        <f>G244+G246+G248</f>
        <v>0</v>
      </c>
      <c r="H243" s="15">
        <f>H244+H246+H248</f>
        <v>403659.13</v>
      </c>
      <c r="I243" s="50">
        <f>H243/F243</f>
        <v>0.99021967685495</v>
      </c>
      <c r="J243" s="56"/>
      <c r="K243" s="57"/>
    </row>
    <row r="244" spans="1:11" ht="48.75" customHeight="1">
      <c r="A244" s="6">
        <v>103</v>
      </c>
      <c r="B244" s="6">
        <v>801</v>
      </c>
      <c r="C244" s="6">
        <v>80110</v>
      </c>
      <c r="D244" s="6" t="s">
        <v>232</v>
      </c>
      <c r="E244" s="12" t="s">
        <v>233</v>
      </c>
      <c r="F244" s="5">
        <v>381784</v>
      </c>
      <c r="G244" s="60"/>
      <c r="H244" s="28">
        <v>377797.09</v>
      </c>
      <c r="I244" s="42">
        <f>H244/F244</f>
        <v>0.9895571579741426</v>
      </c>
      <c r="J244" s="56" t="s">
        <v>11</v>
      </c>
      <c r="K244" s="57">
        <v>2017</v>
      </c>
    </row>
    <row r="245" spans="1:11" ht="35.25" customHeight="1">
      <c r="A245" s="70" t="s">
        <v>485</v>
      </c>
      <c r="B245" s="70"/>
      <c r="C245" s="70"/>
      <c r="D245" s="70"/>
      <c r="E245" s="70"/>
      <c r="F245" s="70"/>
      <c r="G245" s="70"/>
      <c r="H245" s="70"/>
      <c r="I245" s="70"/>
      <c r="J245" s="56"/>
      <c r="K245" s="57"/>
    </row>
    <row r="246" spans="1:11" ht="35.25" customHeight="1">
      <c r="A246" s="6">
        <v>104</v>
      </c>
      <c r="B246" s="6">
        <v>801</v>
      </c>
      <c r="C246" s="6">
        <v>80110</v>
      </c>
      <c r="D246" s="6" t="s">
        <v>234</v>
      </c>
      <c r="E246" s="4" t="s">
        <v>235</v>
      </c>
      <c r="F246" s="5">
        <v>6000</v>
      </c>
      <c r="G246" s="60"/>
      <c r="H246" s="28">
        <v>6000</v>
      </c>
      <c r="I246" s="42">
        <f>H246/F246</f>
        <v>1</v>
      </c>
      <c r="J246" s="56" t="s">
        <v>11</v>
      </c>
      <c r="K246" s="57">
        <v>2017</v>
      </c>
    </row>
    <row r="247" spans="1:11" ht="35.25" customHeight="1">
      <c r="A247" s="70" t="s">
        <v>435</v>
      </c>
      <c r="B247" s="70"/>
      <c r="C247" s="70"/>
      <c r="D247" s="70"/>
      <c r="E247" s="70"/>
      <c r="F247" s="70"/>
      <c r="G247" s="70"/>
      <c r="H247" s="70"/>
      <c r="I247" s="70"/>
      <c r="J247" s="56"/>
      <c r="K247" s="57"/>
    </row>
    <row r="248" spans="1:11" ht="35.25" customHeight="1">
      <c r="A248" s="6">
        <v>105</v>
      </c>
      <c r="B248" s="6">
        <v>801</v>
      </c>
      <c r="C248" s="6">
        <v>80110</v>
      </c>
      <c r="D248" s="6" t="s">
        <v>285</v>
      </c>
      <c r="E248" s="4" t="s">
        <v>286</v>
      </c>
      <c r="F248" s="5">
        <f>25000-5137.96</f>
        <v>19862.04</v>
      </c>
      <c r="G248" s="60"/>
      <c r="H248" s="28">
        <v>19862.04</v>
      </c>
      <c r="I248" s="42">
        <f>H248/F248</f>
        <v>1</v>
      </c>
      <c r="J248" s="56" t="s">
        <v>11</v>
      </c>
      <c r="K248" s="57">
        <v>2017</v>
      </c>
    </row>
    <row r="249" spans="1:11" ht="35.25" customHeight="1">
      <c r="A249" s="70" t="s">
        <v>571</v>
      </c>
      <c r="B249" s="70"/>
      <c r="C249" s="70"/>
      <c r="D249" s="70"/>
      <c r="E249" s="70"/>
      <c r="F249" s="70"/>
      <c r="G249" s="70"/>
      <c r="H249" s="70"/>
      <c r="I249" s="70"/>
      <c r="J249" s="56"/>
      <c r="K249" s="57"/>
    </row>
    <row r="250" spans="1:11" ht="39.75" customHeight="1">
      <c r="A250" s="73" t="s">
        <v>105</v>
      </c>
      <c r="B250" s="73"/>
      <c r="C250" s="73"/>
      <c r="D250" s="73"/>
      <c r="E250" s="73"/>
      <c r="F250" s="14">
        <f>F251</f>
        <v>9009.91</v>
      </c>
      <c r="G250" s="14">
        <f>G251</f>
        <v>0</v>
      </c>
      <c r="H250" s="14">
        <f>H251</f>
        <v>9009.91</v>
      </c>
      <c r="I250" s="47">
        <f>H250/F250</f>
        <v>1</v>
      </c>
      <c r="J250" s="56"/>
      <c r="K250" s="57"/>
    </row>
    <row r="251" spans="1:11" ht="44.25" customHeight="1">
      <c r="A251" s="6">
        <v>106</v>
      </c>
      <c r="B251" s="6">
        <v>801</v>
      </c>
      <c r="C251" s="6">
        <v>80130</v>
      </c>
      <c r="D251" s="6" t="s">
        <v>106</v>
      </c>
      <c r="E251" s="30" t="s">
        <v>107</v>
      </c>
      <c r="F251" s="5">
        <f>9000+9.91</f>
        <v>9009.91</v>
      </c>
      <c r="G251" s="60"/>
      <c r="H251" s="28">
        <v>9009.91</v>
      </c>
      <c r="I251" s="42">
        <f>H251/F251</f>
        <v>1</v>
      </c>
      <c r="J251" s="56" t="s">
        <v>16</v>
      </c>
      <c r="K251" s="57" t="s">
        <v>410</v>
      </c>
    </row>
    <row r="252" spans="1:11" ht="36.75" customHeight="1">
      <c r="A252" s="70" t="s">
        <v>597</v>
      </c>
      <c r="B252" s="70"/>
      <c r="C252" s="70"/>
      <c r="D252" s="70"/>
      <c r="E252" s="70"/>
      <c r="F252" s="70"/>
      <c r="G252" s="70"/>
      <c r="H252" s="70"/>
      <c r="I252" s="70"/>
      <c r="J252" s="56"/>
      <c r="K252" s="57"/>
    </row>
    <row r="253" spans="1:11" ht="37.5" customHeight="1">
      <c r="A253" s="73" t="s">
        <v>108</v>
      </c>
      <c r="B253" s="73"/>
      <c r="C253" s="73"/>
      <c r="D253" s="73"/>
      <c r="E253" s="73"/>
      <c r="F253" s="14">
        <f>F254+F256+F258+F260+F264+F262</f>
        <v>1710935.55</v>
      </c>
      <c r="G253" s="14">
        <f>G254+G256+G258+G260+G264+G262</f>
        <v>0</v>
      </c>
      <c r="H253" s="14">
        <f>H254+H256+H258+H260+H264+H262</f>
        <v>1615846.79</v>
      </c>
      <c r="I253" s="47">
        <f>H253/F253</f>
        <v>0.9444229445112646</v>
      </c>
      <c r="J253" s="56"/>
      <c r="K253" s="57"/>
    </row>
    <row r="254" spans="1:11" ht="39" customHeight="1">
      <c r="A254" s="6">
        <v>107</v>
      </c>
      <c r="B254" s="6">
        <v>801</v>
      </c>
      <c r="C254" s="6">
        <v>80195</v>
      </c>
      <c r="D254" s="6" t="s">
        <v>109</v>
      </c>
      <c r="E254" s="30" t="s">
        <v>76</v>
      </c>
      <c r="F254" s="5">
        <v>63035.55</v>
      </c>
      <c r="G254" s="60"/>
      <c r="H254" s="28">
        <v>48800</v>
      </c>
      <c r="I254" s="42">
        <f>H254/F254</f>
        <v>0.7741663236062825</v>
      </c>
      <c r="J254" s="56" t="s">
        <v>16</v>
      </c>
      <c r="K254" s="57" t="s">
        <v>423</v>
      </c>
    </row>
    <row r="255" spans="1:11" ht="57.75" customHeight="1">
      <c r="A255" s="70" t="s">
        <v>453</v>
      </c>
      <c r="B255" s="70"/>
      <c r="C255" s="70"/>
      <c r="D255" s="70"/>
      <c r="E255" s="70"/>
      <c r="F255" s="70"/>
      <c r="G255" s="70"/>
      <c r="H255" s="70"/>
      <c r="I255" s="70"/>
      <c r="J255" s="56"/>
      <c r="K255" s="57"/>
    </row>
    <row r="256" spans="1:11" ht="45" customHeight="1">
      <c r="A256" s="6">
        <v>108</v>
      </c>
      <c r="B256" s="6">
        <v>801</v>
      </c>
      <c r="C256" s="6">
        <v>80195</v>
      </c>
      <c r="D256" s="6" t="s">
        <v>236</v>
      </c>
      <c r="E256" s="4" t="s">
        <v>237</v>
      </c>
      <c r="F256" s="5">
        <v>1432500</v>
      </c>
      <c r="G256" s="60"/>
      <c r="H256" s="28">
        <v>1432500</v>
      </c>
      <c r="I256" s="42">
        <f>H256/F256</f>
        <v>1</v>
      </c>
      <c r="J256" s="56" t="s">
        <v>16</v>
      </c>
      <c r="K256" s="57" t="s">
        <v>424</v>
      </c>
    </row>
    <row r="257" spans="1:11" ht="44.25" customHeight="1">
      <c r="A257" s="70" t="s">
        <v>440</v>
      </c>
      <c r="B257" s="70"/>
      <c r="C257" s="70"/>
      <c r="D257" s="70"/>
      <c r="E257" s="70"/>
      <c r="F257" s="70"/>
      <c r="G257" s="70"/>
      <c r="H257" s="70"/>
      <c r="I257" s="70"/>
      <c r="J257" s="56"/>
      <c r="K257" s="57"/>
    </row>
    <row r="258" spans="1:11" ht="44.25" customHeight="1">
      <c r="A258" s="6">
        <v>109</v>
      </c>
      <c r="B258" s="6">
        <v>801</v>
      </c>
      <c r="C258" s="6">
        <v>80195</v>
      </c>
      <c r="D258" s="6" t="s">
        <v>316</v>
      </c>
      <c r="E258" s="4" t="s">
        <v>556</v>
      </c>
      <c r="F258" s="5">
        <f>118800-75.43+75.43</f>
        <v>118800</v>
      </c>
      <c r="G258" s="60"/>
      <c r="H258" s="28">
        <f>58306.75+13123.25</f>
        <v>71430</v>
      </c>
      <c r="I258" s="42">
        <f>H258/F258</f>
        <v>0.6012626262626263</v>
      </c>
      <c r="J258" s="56" t="s">
        <v>11</v>
      </c>
      <c r="K258" s="57">
        <v>2017</v>
      </c>
    </row>
    <row r="259" spans="1:11" ht="59.25" customHeight="1">
      <c r="A259" s="79" t="s">
        <v>557</v>
      </c>
      <c r="B259" s="70"/>
      <c r="C259" s="70"/>
      <c r="D259" s="70"/>
      <c r="E259" s="70"/>
      <c r="F259" s="70"/>
      <c r="G259" s="70"/>
      <c r="H259" s="70"/>
      <c r="I259" s="70"/>
      <c r="J259" s="56"/>
      <c r="K259" s="57"/>
    </row>
    <row r="260" spans="1:11" ht="59.25" customHeight="1">
      <c r="A260" s="6">
        <v>110</v>
      </c>
      <c r="B260" s="6">
        <v>801</v>
      </c>
      <c r="C260" s="6">
        <v>80195</v>
      </c>
      <c r="D260" s="6" t="s">
        <v>317</v>
      </c>
      <c r="E260" s="4" t="s">
        <v>318</v>
      </c>
      <c r="F260" s="5">
        <v>61200</v>
      </c>
      <c r="G260" s="60"/>
      <c r="H260" s="28">
        <v>33106.99</v>
      </c>
      <c r="I260" s="42">
        <f>H260/F260</f>
        <v>0.5409638888888889</v>
      </c>
      <c r="J260" s="56" t="s">
        <v>11</v>
      </c>
      <c r="K260" s="57">
        <v>2017</v>
      </c>
    </row>
    <row r="261" spans="1:11" ht="57" customHeight="1">
      <c r="A261" s="70" t="s">
        <v>558</v>
      </c>
      <c r="B261" s="70"/>
      <c r="C261" s="70"/>
      <c r="D261" s="70"/>
      <c r="E261" s="70"/>
      <c r="F261" s="70"/>
      <c r="G261" s="70"/>
      <c r="H261" s="70"/>
      <c r="I261" s="70"/>
      <c r="J261" s="56"/>
      <c r="K261" s="57"/>
    </row>
    <row r="262" spans="1:11" ht="50.25" customHeight="1">
      <c r="A262" s="3">
        <v>111</v>
      </c>
      <c r="B262" s="3">
        <v>801</v>
      </c>
      <c r="C262" s="3">
        <v>80195</v>
      </c>
      <c r="D262" s="3" t="s">
        <v>323</v>
      </c>
      <c r="E262" s="10" t="s">
        <v>324</v>
      </c>
      <c r="F262" s="29">
        <v>12000</v>
      </c>
      <c r="G262" s="60"/>
      <c r="H262" s="28">
        <v>10480</v>
      </c>
      <c r="I262" s="42">
        <f>H262/F262</f>
        <v>0.8733333333333333</v>
      </c>
      <c r="J262" s="56" t="s">
        <v>11</v>
      </c>
      <c r="K262" s="57">
        <v>2017</v>
      </c>
    </row>
    <row r="263" spans="1:11" ht="44.25" customHeight="1">
      <c r="A263" s="70" t="s">
        <v>559</v>
      </c>
      <c r="B263" s="70"/>
      <c r="C263" s="70"/>
      <c r="D263" s="70"/>
      <c r="E263" s="70"/>
      <c r="F263" s="70"/>
      <c r="G263" s="70"/>
      <c r="H263" s="70"/>
      <c r="I263" s="70"/>
      <c r="J263" s="56"/>
      <c r="K263" s="57"/>
    </row>
    <row r="264" spans="1:11" ht="50.25" customHeight="1">
      <c r="A264" s="6">
        <v>112</v>
      </c>
      <c r="B264" s="6">
        <v>801</v>
      </c>
      <c r="C264" s="6">
        <v>80195</v>
      </c>
      <c r="D264" s="6" t="s">
        <v>319</v>
      </c>
      <c r="E264" s="4" t="s">
        <v>320</v>
      </c>
      <c r="F264" s="5">
        <f>23400-2438.61+2438.61</f>
        <v>23400</v>
      </c>
      <c r="G264" s="60"/>
      <c r="H264" s="28">
        <f>17091.19+2438.61</f>
        <v>19529.8</v>
      </c>
      <c r="I264" s="42">
        <f>H264/F264</f>
        <v>0.8346068376068376</v>
      </c>
      <c r="J264" s="56" t="s">
        <v>11</v>
      </c>
      <c r="K264" s="57">
        <v>2017</v>
      </c>
    </row>
    <row r="265" spans="1:11" ht="45" customHeight="1">
      <c r="A265" s="70" t="s">
        <v>560</v>
      </c>
      <c r="B265" s="70"/>
      <c r="C265" s="70"/>
      <c r="D265" s="70"/>
      <c r="E265" s="70"/>
      <c r="F265" s="70"/>
      <c r="G265" s="70"/>
      <c r="H265" s="70"/>
      <c r="I265" s="70"/>
      <c r="J265" s="56"/>
      <c r="K265" s="57"/>
    </row>
    <row r="266" spans="1:11" ht="40.5" customHeight="1">
      <c r="A266" s="73" t="s">
        <v>110</v>
      </c>
      <c r="B266" s="73"/>
      <c r="C266" s="73"/>
      <c r="D266" s="73"/>
      <c r="E266" s="73"/>
      <c r="F266" s="14">
        <f>F267</f>
        <v>5592959.51</v>
      </c>
      <c r="G266" s="14" t="e">
        <f>G267</f>
        <v>#VALUE!</v>
      </c>
      <c r="H266" s="14">
        <f>H267</f>
        <v>5511700.05</v>
      </c>
      <c r="I266" s="47">
        <f>H266/F266</f>
        <v>0.9854711159888229</v>
      </c>
      <c r="J266" s="56"/>
      <c r="K266" s="57"/>
    </row>
    <row r="267" spans="1:11" ht="40.5" customHeight="1">
      <c r="A267" s="73" t="s">
        <v>111</v>
      </c>
      <c r="B267" s="73"/>
      <c r="C267" s="73"/>
      <c r="D267" s="73"/>
      <c r="E267" s="73"/>
      <c r="F267" s="14">
        <f>F268+F272+F270</f>
        <v>5592959.51</v>
      </c>
      <c r="G267" s="14" t="e">
        <f>G268+G272+G270</f>
        <v>#VALUE!</v>
      </c>
      <c r="H267" s="14">
        <f>H268+H272+H270</f>
        <v>5511700.05</v>
      </c>
      <c r="I267" s="47">
        <f>H267/F267</f>
        <v>0.9854711159888229</v>
      </c>
      <c r="J267" s="56"/>
      <c r="K267" s="57"/>
    </row>
    <row r="268" spans="1:11" ht="35.25" customHeight="1">
      <c r="A268" s="3">
        <v>113</v>
      </c>
      <c r="B268" s="3">
        <v>851</v>
      </c>
      <c r="C268" s="3">
        <v>85195</v>
      </c>
      <c r="D268" s="39" t="s">
        <v>112</v>
      </c>
      <c r="E268" s="10" t="s">
        <v>113</v>
      </c>
      <c r="F268" s="29">
        <v>42959.51</v>
      </c>
      <c r="G268" s="41" t="s">
        <v>16</v>
      </c>
      <c r="H268" s="26">
        <v>11700.05</v>
      </c>
      <c r="I268" s="41">
        <f>H268/F268</f>
        <v>0.2723506390086851</v>
      </c>
      <c r="J268" s="56" t="s">
        <v>16</v>
      </c>
      <c r="K268" s="57" t="s">
        <v>413</v>
      </c>
    </row>
    <row r="269" spans="1:11" ht="34.5" customHeight="1">
      <c r="A269" s="71" t="s">
        <v>610</v>
      </c>
      <c r="B269" s="70"/>
      <c r="C269" s="70"/>
      <c r="D269" s="70"/>
      <c r="E269" s="70"/>
      <c r="F269" s="70"/>
      <c r="G269" s="70"/>
      <c r="H269" s="70"/>
      <c r="I269" s="70"/>
      <c r="J269" s="56"/>
      <c r="K269" s="57"/>
    </row>
    <row r="270" spans="1:11" ht="34.5" customHeight="1">
      <c r="A270" s="6">
        <v>114</v>
      </c>
      <c r="B270" s="6">
        <v>851</v>
      </c>
      <c r="C270" s="6">
        <v>85195</v>
      </c>
      <c r="D270" s="6" t="s">
        <v>114</v>
      </c>
      <c r="E270" s="30" t="s">
        <v>115</v>
      </c>
      <c r="F270" s="5">
        <v>50000</v>
      </c>
      <c r="G270" s="60"/>
      <c r="H270" s="28">
        <v>0</v>
      </c>
      <c r="I270" s="42">
        <f>H270/F270</f>
        <v>0</v>
      </c>
      <c r="J270" s="56" t="s">
        <v>16</v>
      </c>
      <c r="K270" s="57" t="s">
        <v>416</v>
      </c>
    </row>
    <row r="271" spans="1:11" ht="55.5" customHeight="1">
      <c r="A271" s="70" t="s">
        <v>561</v>
      </c>
      <c r="B271" s="70"/>
      <c r="C271" s="70"/>
      <c r="D271" s="70"/>
      <c r="E271" s="70"/>
      <c r="F271" s="70"/>
      <c r="G271" s="70"/>
      <c r="H271" s="70"/>
      <c r="I271" s="70"/>
      <c r="J271" s="56"/>
      <c r="K271" s="57"/>
    </row>
    <row r="272" spans="1:11" ht="33.75" customHeight="1">
      <c r="A272" s="3">
        <v>115</v>
      </c>
      <c r="B272" s="3">
        <v>851</v>
      </c>
      <c r="C272" s="3">
        <v>85195</v>
      </c>
      <c r="D272" s="39" t="s">
        <v>116</v>
      </c>
      <c r="E272" s="10" t="s">
        <v>117</v>
      </c>
      <c r="F272" s="29">
        <f>3000000+2500000</f>
        <v>5500000</v>
      </c>
      <c r="G272" s="41" t="s">
        <v>11</v>
      </c>
      <c r="H272" s="26">
        <v>5500000</v>
      </c>
      <c r="I272" s="41">
        <f>H272/F272</f>
        <v>1</v>
      </c>
      <c r="J272" s="56" t="s">
        <v>11</v>
      </c>
      <c r="K272" s="57">
        <v>2017</v>
      </c>
    </row>
    <row r="273" spans="1:11" ht="47.25" customHeight="1">
      <c r="A273" s="70" t="s">
        <v>441</v>
      </c>
      <c r="B273" s="70"/>
      <c r="C273" s="70"/>
      <c r="D273" s="70"/>
      <c r="E273" s="70"/>
      <c r="F273" s="70"/>
      <c r="G273" s="70"/>
      <c r="H273" s="70"/>
      <c r="I273" s="70"/>
      <c r="J273" s="56"/>
      <c r="K273" s="57"/>
    </row>
    <row r="274" spans="1:11" ht="42.75" customHeight="1">
      <c r="A274" s="73" t="s">
        <v>262</v>
      </c>
      <c r="B274" s="73"/>
      <c r="C274" s="73"/>
      <c r="D274" s="73"/>
      <c r="E274" s="73"/>
      <c r="F274" s="14">
        <f>F275+F278</f>
        <v>78300</v>
      </c>
      <c r="G274" s="14">
        <f>G275+G278</f>
        <v>0</v>
      </c>
      <c r="H274" s="14">
        <f>H275+H278</f>
        <v>73173.01000000001</v>
      </c>
      <c r="I274" s="47">
        <f>H274/F274</f>
        <v>0.9345212005108559</v>
      </c>
      <c r="J274" s="56"/>
      <c r="K274" s="57"/>
    </row>
    <row r="275" spans="1:11" ht="42.75" customHeight="1">
      <c r="A275" s="73" t="s">
        <v>303</v>
      </c>
      <c r="B275" s="73"/>
      <c r="C275" s="73"/>
      <c r="D275" s="73"/>
      <c r="E275" s="73"/>
      <c r="F275" s="14">
        <f>F276</f>
        <v>62500</v>
      </c>
      <c r="G275" s="14">
        <f>G276</f>
        <v>0</v>
      </c>
      <c r="H275" s="14">
        <f>H276</f>
        <v>57490.51</v>
      </c>
      <c r="I275" s="47">
        <f>H275/F275</f>
        <v>0.91984816</v>
      </c>
      <c r="J275" s="56"/>
      <c r="K275" s="57"/>
    </row>
    <row r="276" spans="1:11" ht="42.75" customHeight="1">
      <c r="A276" s="6">
        <v>116</v>
      </c>
      <c r="B276" s="6">
        <v>852</v>
      </c>
      <c r="C276" s="6">
        <v>85202</v>
      </c>
      <c r="D276" s="6" t="s">
        <v>304</v>
      </c>
      <c r="E276" s="4" t="s">
        <v>305</v>
      </c>
      <c r="F276" s="5">
        <f>100000-37500</f>
        <v>62500</v>
      </c>
      <c r="G276" s="60"/>
      <c r="H276" s="28">
        <v>57490.51</v>
      </c>
      <c r="I276" s="42">
        <f>H276/F276</f>
        <v>0.91984816</v>
      </c>
      <c r="J276" s="56" t="s">
        <v>16</v>
      </c>
      <c r="K276" s="57" t="s">
        <v>416</v>
      </c>
    </row>
    <row r="277" spans="1:11" ht="51" customHeight="1">
      <c r="A277" s="70" t="s">
        <v>484</v>
      </c>
      <c r="B277" s="70"/>
      <c r="C277" s="70"/>
      <c r="D277" s="70"/>
      <c r="E277" s="70"/>
      <c r="F277" s="70"/>
      <c r="G277" s="70"/>
      <c r="H277" s="70"/>
      <c r="I277" s="70"/>
      <c r="J277" s="56"/>
      <c r="K277" s="57"/>
    </row>
    <row r="278" spans="1:11" ht="39.75" customHeight="1">
      <c r="A278" s="73" t="s">
        <v>263</v>
      </c>
      <c r="B278" s="73"/>
      <c r="C278" s="73"/>
      <c r="D278" s="73"/>
      <c r="E278" s="73"/>
      <c r="F278" s="14">
        <f>F279</f>
        <v>15800</v>
      </c>
      <c r="G278" s="14">
        <f>G279</f>
        <v>0</v>
      </c>
      <c r="H278" s="14">
        <f>H279</f>
        <v>15682.5</v>
      </c>
      <c r="I278" s="47">
        <f>H278/F278</f>
        <v>0.9925632911392405</v>
      </c>
      <c r="J278" s="56"/>
      <c r="K278" s="57"/>
    </row>
    <row r="279" spans="1:11" ht="37.5" customHeight="1">
      <c r="A279" s="6">
        <v>117</v>
      </c>
      <c r="B279" s="6">
        <v>852</v>
      </c>
      <c r="C279" s="6">
        <v>85219</v>
      </c>
      <c r="D279" s="6" t="s">
        <v>264</v>
      </c>
      <c r="E279" s="30" t="s">
        <v>265</v>
      </c>
      <c r="F279" s="5">
        <v>15800</v>
      </c>
      <c r="G279" s="60"/>
      <c r="H279" s="28">
        <v>15682.5</v>
      </c>
      <c r="I279" s="42">
        <f>H279/F279</f>
        <v>0.9925632911392405</v>
      </c>
      <c r="J279" s="56" t="s">
        <v>11</v>
      </c>
      <c r="K279" s="57">
        <v>2017</v>
      </c>
    </row>
    <row r="280" spans="1:11" ht="37.5" customHeight="1">
      <c r="A280" s="70" t="s">
        <v>442</v>
      </c>
      <c r="B280" s="70"/>
      <c r="C280" s="70"/>
      <c r="D280" s="70"/>
      <c r="E280" s="70"/>
      <c r="F280" s="70"/>
      <c r="G280" s="70"/>
      <c r="H280" s="70"/>
      <c r="I280" s="70"/>
      <c r="J280" s="56"/>
      <c r="K280" s="57"/>
    </row>
    <row r="281" spans="1:11" ht="45" customHeight="1">
      <c r="A281" s="73" t="s">
        <v>200</v>
      </c>
      <c r="B281" s="73"/>
      <c r="C281" s="73"/>
      <c r="D281" s="73"/>
      <c r="E281" s="73"/>
      <c r="F281" s="14">
        <f aca="true" t="shared" si="0" ref="F281:H282">F282</f>
        <v>147600</v>
      </c>
      <c r="G281" s="14">
        <f t="shared" si="0"/>
        <v>0</v>
      </c>
      <c r="H281" s="14">
        <f t="shared" si="0"/>
        <v>147600</v>
      </c>
      <c r="I281" s="47">
        <f>H281/F281</f>
        <v>1</v>
      </c>
      <c r="J281" s="56"/>
      <c r="K281" s="57"/>
    </row>
    <row r="282" spans="1:11" ht="41.25" customHeight="1">
      <c r="A282" s="73" t="s">
        <v>201</v>
      </c>
      <c r="B282" s="73"/>
      <c r="C282" s="73"/>
      <c r="D282" s="73"/>
      <c r="E282" s="73"/>
      <c r="F282" s="14">
        <f t="shared" si="0"/>
        <v>147600</v>
      </c>
      <c r="G282" s="14">
        <f t="shared" si="0"/>
        <v>0</v>
      </c>
      <c r="H282" s="14">
        <f t="shared" si="0"/>
        <v>147600</v>
      </c>
      <c r="I282" s="47">
        <f>H282/F282</f>
        <v>1</v>
      </c>
      <c r="J282" s="56"/>
      <c r="K282" s="57"/>
    </row>
    <row r="283" spans="1:11" ht="47.25" customHeight="1">
      <c r="A283" s="6">
        <v>118</v>
      </c>
      <c r="B283" s="6">
        <v>853</v>
      </c>
      <c r="C283" s="6">
        <v>85324</v>
      </c>
      <c r="D283" s="6" t="s">
        <v>202</v>
      </c>
      <c r="E283" s="30" t="s">
        <v>203</v>
      </c>
      <c r="F283" s="5">
        <f>63500+71500+12600</f>
        <v>147600</v>
      </c>
      <c r="G283" s="60"/>
      <c r="H283" s="28">
        <v>147600</v>
      </c>
      <c r="I283" s="42">
        <f>H283/F283</f>
        <v>1</v>
      </c>
      <c r="J283" s="56" t="s">
        <v>11</v>
      </c>
      <c r="K283" s="57">
        <v>2017</v>
      </c>
    </row>
    <row r="284" spans="1:11" ht="47.25" customHeight="1">
      <c r="A284" s="70" t="s">
        <v>562</v>
      </c>
      <c r="B284" s="70"/>
      <c r="C284" s="70"/>
      <c r="D284" s="70"/>
      <c r="E284" s="70"/>
      <c r="F284" s="70"/>
      <c r="G284" s="70"/>
      <c r="H284" s="70"/>
      <c r="I284" s="70"/>
      <c r="J284" s="56"/>
      <c r="K284" s="57"/>
    </row>
    <row r="285" spans="1:11" ht="42" customHeight="1">
      <c r="A285" s="73" t="s">
        <v>118</v>
      </c>
      <c r="B285" s="73"/>
      <c r="C285" s="73"/>
      <c r="D285" s="73"/>
      <c r="E285" s="73"/>
      <c r="F285" s="14">
        <f>F296+F299+F286+F293</f>
        <v>1132122.38</v>
      </c>
      <c r="G285" s="14" t="e">
        <f>G296+G299+G286+G293</f>
        <v>#VALUE!</v>
      </c>
      <c r="H285" s="14">
        <f>H296+H299+H286+H293</f>
        <v>1098547.8199999998</v>
      </c>
      <c r="I285" s="47">
        <f>H285/F285</f>
        <v>0.970343700828527</v>
      </c>
      <c r="J285" s="56"/>
      <c r="K285" s="57"/>
    </row>
    <row r="286" spans="1:11" ht="42" customHeight="1">
      <c r="A286" s="73" t="s">
        <v>322</v>
      </c>
      <c r="B286" s="73"/>
      <c r="C286" s="73"/>
      <c r="D286" s="73"/>
      <c r="E286" s="73"/>
      <c r="F286" s="14">
        <f>F289+F287+F291</f>
        <v>48690</v>
      </c>
      <c r="G286" s="14">
        <f>G289+G287+G291</f>
        <v>0</v>
      </c>
      <c r="H286" s="14">
        <f>H289+H287+H291</f>
        <v>47389.880000000005</v>
      </c>
      <c r="I286" s="47">
        <f>H286/F286</f>
        <v>0.9732980078044774</v>
      </c>
      <c r="J286" s="56"/>
      <c r="K286" s="57"/>
    </row>
    <row r="287" spans="1:11" ht="42" customHeight="1">
      <c r="A287" s="6">
        <v>119</v>
      </c>
      <c r="B287" s="6">
        <v>854</v>
      </c>
      <c r="C287" s="6">
        <v>85403</v>
      </c>
      <c r="D287" s="6" t="s">
        <v>380</v>
      </c>
      <c r="E287" s="4" t="s">
        <v>379</v>
      </c>
      <c r="F287" s="5">
        <v>14400</v>
      </c>
      <c r="G287" s="60"/>
      <c r="H287" s="28">
        <v>13100</v>
      </c>
      <c r="I287" s="42">
        <f>H287/F287</f>
        <v>0.9097222222222222</v>
      </c>
      <c r="J287" s="56" t="s">
        <v>11</v>
      </c>
      <c r="K287" s="57">
        <v>2017</v>
      </c>
    </row>
    <row r="288" spans="1:11" ht="42" customHeight="1">
      <c r="A288" s="70" t="s">
        <v>563</v>
      </c>
      <c r="B288" s="70"/>
      <c r="C288" s="70"/>
      <c r="D288" s="70"/>
      <c r="E288" s="70"/>
      <c r="F288" s="70"/>
      <c r="G288" s="70"/>
      <c r="H288" s="70"/>
      <c r="I288" s="70"/>
      <c r="J288" s="56"/>
      <c r="K288" s="57"/>
    </row>
    <row r="289" spans="1:11" ht="42" customHeight="1">
      <c r="A289" s="6">
        <v>120</v>
      </c>
      <c r="B289" s="6">
        <v>854</v>
      </c>
      <c r="C289" s="6">
        <v>85403</v>
      </c>
      <c r="D289" s="6" t="s">
        <v>356</v>
      </c>
      <c r="E289" s="4" t="s">
        <v>357</v>
      </c>
      <c r="F289" s="5">
        <v>24300</v>
      </c>
      <c r="G289" s="60"/>
      <c r="H289" s="28">
        <v>24299.88</v>
      </c>
      <c r="I289" s="42">
        <v>0.9999</v>
      </c>
      <c r="J289" s="56" t="s">
        <v>11</v>
      </c>
      <c r="K289" s="57">
        <v>2017</v>
      </c>
    </row>
    <row r="290" spans="1:11" ht="42" customHeight="1">
      <c r="A290" s="70" t="s">
        <v>598</v>
      </c>
      <c r="B290" s="70"/>
      <c r="C290" s="70"/>
      <c r="D290" s="70"/>
      <c r="E290" s="70"/>
      <c r="F290" s="70"/>
      <c r="G290" s="70"/>
      <c r="H290" s="70"/>
      <c r="I290" s="70"/>
      <c r="J290" s="56"/>
      <c r="K290" s="57"/>
    </row>
    <row r="291" spans="1:11" ht="42" customHeight="1">
      <c r="A291" s="6">
        <v>121</v>
      </c>
      <c r="B291" s="6">
        <v>854</v>
      </c>
      <c r="C291" s="6">
        <v>85403</v>
      </c>
      <c r="D291" s="6" t="s">
        <v>381</v>
      </c>
      <c r="E291" s="4" t="s">
        <v>382</v>
      </c>
      <c r="F291" s="5">
        <v>9990</v>
      </c>
      <c r="G291" s="60"/>
      <c r="H291" s="28">
        <v>9990</v>
      </c>
      <c r="I291" s="42">
        <f>H291/F291</f>
        <v>1</v>
      </c>
      <c r="J291" s="56" t="s">
        <v>11</v>
      </c>
      <c r="K291" s="57">
        <v>2017</v>
      </c>
    </row>
    <row r="292" spans="1:11" ht="42" customHeight="1">
      <c r="A292" s="70" t="s">
        <v>457</v>
      </c>
      <c r="B292" s="70"/>
      <c r="C292" s="70"/>
      <c r="D292" s="70"/>
      <c r="E292" s="70"/>
      <c r="F292" s="70"/>
      <c r="G292" s="70"/>
      <c r="H292" s="70"/>
      <c r="I292" s="70"/>
      <c r="J292" s="56"/>
      <c r="K292" s="57"/>
    </row>
    <row r="293" spans="1:11" ht="42" customHeight="1">
      <c r="A293" s="73" t="s">
        <v>358</v>
      </c>
      <c r="B293" s="73"/>
      <c r="C293" s="73"/>
      <c r="D293" s="73"/>
      <c r="E293" s="73"/>
      <c r="F293" s="14">
        <f>F294</f>
        <v>50000</v>
      </c>
      <c r="G293" s="14">
        <f>G294</f>
        <v>0</v>
      </c>
      <c r="H293" s="14">
        <f>H294</f>
        <v>28290</v>
      </c>
      <c r="I293" s="47">
        <f>H293/F293</f>
        <v>0.5658</v>
      </c>
      <c r="J293" s="56"/>
      <c r="K293" s="57"/>
    </row>
    <row r="294" spans="1:11" ht="42" customHeight="1">
      <c r="A294" s="6">
        <v>122</v>
      </c>
      <c r="B294" s="6">
        <v>854</v>
      </c>
      <c r="C294" s="6">
        <v>85406</v>
      </c>
      <c r="D294" s="6" t="s">
        <v>359</v>
      </c>
      <c r="E294" s="4" t="s">
        <v>565</v>
      </c>
      <c r="F294" s="5">
        <f>70000-20000</f>
        <v>50000</v>
      </c>
      <c r="G294" s="60"/>
      <c r="H294" s="28">
        <v>28290</v>
      </c>
      <c r="I294" s="42">
        <f>H294/F294</f>
        <v>0.5658</v>
      </c>
      <c r="J294" s="56" t="s">
        <v>16</v>
      </c>
      <c r="K294" s="57" t="s">
        <v>416</v>
      </c>
    </row>
    <row r="295" spans="1:11" ht="38.25" customHeight="1">
      <c r="A295" s="70" t="s">
        <v>564</v>
      </c>
      <c r="B295" s="70"/>
      <c r="C295" s="70"/>
      <c r="D295" s="70"/>
      <c r="E295" s="70"/>
      <c r="F295" s="70"/>
      <c r="G295" s="70"/>
      <c r="H295" s="70"/>
      <c r="I295" s="70"/>
      <c r="J295" s="56"/>
      <c r="K295" s="57"/>
    </row>
    <row r="296" spans="1:11" ht="39" customHeight="1">
      <c r="A296" s="73" t="s">
        <v>119</v>
      </c>
      <c r="B296" s="73"/>
      <c r="C296" s="73"/>
      <c r="D296" s="73"/>
      <c r="E296" s="73"/>
      <c r="F296" s="14">
        <f>F297</f>
        <v>180000</v>
      </c>
      <c r="G296" s="14" t="str">
        <f>G297</f>
        <v>WPF</v>
      </c>
      <c r="H296" s="14">
        <f>H297</f>
        <v>179700</v>
      </c>
      <c r="I296" s="47">
        <f>H296/F296</f>
        <v>0.9983333333333333</v>
      </c>
      <c r="J296" s="56"/>
      <c r="K296" s="57"/>
    </row>
    <row r="297" spans="1:11" ht="44.25" customHeight="1">
      <c r="A297" s="3">
        <v>123</v>
      </c>
      <c r="B297" s="3">
        <v>854</v>
      </c>
      <c r="C297" s="3">
        <v>85407</v>
      </c>
      <c r="D297" s="3" t="s">
        <v>120</v>
      </c>
      <c r="E297" s="10" t="s">
        <v>121</v>
      </c>
      <c r="F297" s="29">
        <v>180000</v>
      </c>
      <c r="G297" s="41" t="s">
        <v>16</v>
      </c>
      <c r="H297" s="26">
        <v>179700</v>
      </c>
      <c r="I297" s="41">
        <f>H297/F297</f>
        <v>0.9983333333333333</v>
      </c>
      <c r="J297" s="56" t="s">
        <v>11</v>
      </c>
      <c r="K297" s="57">
        <v>2017</v>
      </c>
    </row>
    <row r="298" spans="1:11" ht="47.25" customHeight="1">
      <c r="A298" s="70" t="s">
        <v>458</v>
      </c>
      <c r="B298" s="70"/>
      <c r="C298" s="70"/>
      <c r="D298" s="70"/>
      <c r="E298" s="70"/>
      <c r="F298" s="70"/>
      <c r="G298" s="70"/>
      <c r="H298" s="70"/>
      <c r="I298" s="70"/>
      <c r="J298" s="56"/>
      <c r="K298" s="57"/>
    </row>
    <row r="299" spans="1:11" ht="38.25" customHeight="1">
      <c r="A299" s="73" t="s">
        <v>122</v>
      </c>
      <c r="B299" s="73"/>
      <c r="C299" s="73"/>
      <c r="D299" s="73"/>
      <c r="E299" s="73"/>
      <c r="F299" s="14">
        <f>F300</f>
        <v>853432.3799999999</v>
      </c>
      <c r="G299" s="14">
        <f>G300</f>
        <v>0</v>
      </c>
      <c r="H299" s="14">
        <f>H300</f>
        <v>843167.94</v>
      </c>
      <c r="I299" s="47">
        <f>H299/F299</f>
        <v>0.9879727553810415</v>
      </c>
      <c r="J299" s="56"/>
      <c r="K299" s="57"/>
    </row>
    <row r="300" spans="1:11" ht="52.5" customHeight="1">
      <c r="A300" s="6">
        <v>124</v>
      </c>
      <c r="B300" s="6">
        <v>854</v>
      </c>
      <c r="C300" s="6">
        <v>85410</v>
      </c>
      <c r="D300" s="6" t="s">
        <v>123</v>
      </c>
      <c r="E300" s="30" t="s">
        <v>238</v>
      </c>
      <c r="F300" s="5">
        <f>1000000+323000-73774.09-395793.53</f>
        <v>853432.3799999999</v>
      </c>
      <c r="G300" s="60"/>
      <c r="H300" s="28">
        <v>843167.94</v>
      </c>
      <c r="I300" s="42">
        <f>H300/F300</f>
        <v>0.9879727553810415</v>
      </c>
      <c r="J300" s="56" t="s">
        <v>16</v>
      </c>
      <c r="K300" s="57" t="s">
        <v>425</v>
      </c>
    </row>
    <row r="301" spans="1:11" ht="45.75" customHeight="1">
      <c r="A301" s="76" t="s">
        <v>599</v>
      </c>
      <c r="B301" s="76"/>
      <c r="C301" s="76"/>
      <c r="D301" s="76"/>
      <c r="E301" s="76"/>
      <c r="F301" s="76"/>
      <c r="G301" s="76"/>
      <c r="H301" s="76"/>
      <c r="I301" s="76"/>
      <c r="J301" s="56"/>
      <c r="K301" s="57"/>
    </row>
    <row r="302" spans="1:11" ht="39.75" customHeight="1">
      <c r="A302" s="73" t="s">
        <v>239</v>
      </c>
      <c r="B302" s="73"/>
      <c r="C302" s="73"/>
      <c r="D302" s="73"/>
      <c r="E302" s="73"/>
      <c r="F302" s="14">
        <f>F303+F309+F306</f>
        <v>119526.5</v>
      </c>
      <c r="G302" s="14">
        <f>G303+G309+G306</f>
        <v>0</v>
      </c>
      <c r="H302" s="14">
        <f>H303+H309+H306</f>
        <v>62880.37</v>
      </c>
      <c r="I302" s="47">
        <f>H302/F302</f>
        <v>0.526078903004773</v>
      </c>
      <c r="J302" s="56"/>
      <c r="K302" s="57"/>
    </row>
    <row r="303" spans="1:11" ht="38.25" customHeight="1">
      <c r="A303" s="73" t="s">
        <v>240</v>
      </c>
      <c r="B303" s="73"/>
      <c r="C303" s="73"/>
      <c r="D303" s="73"/>
      <c r="E303" s="73"/>
      <c r="F303" s="14">
        <f>F304</f>
        <v>15000</v>
      </c>
      <c r="G303" s="14">
        <f>G304</f>
        <v>0</v>
      </c>
      <c r="H303" s="14">
        <f>H304</f>
        <v>12114.12</v>
      </c>
      <c r="I303" s="47">
        <f>H303/F303</f>
        <v>0.8076080000000001</v>
      </c>
      <c r="J303" s="56"/>
      <c r="K303" s="57"/>
    </row>
    <row r="304" spans="1:11" ht="45.75" customHeight="1">
      <c r="A304" s="6">
        <v>125</v>
      </c>
      <c r="B304" s="6">
        <v>855</v>
      </c>
      <c r="C304" s="6">
        <v>85505</v>
      </c>
      <c r="D304" s="6" t="s">
        <v>241</v>
      </c>
      <c r="E304" s="4" t="s">
        <v>242</v>
      </c>
      <c r="F304" s="5">
        <v>15000</v>
      </c>
      <c r="G304" s="60"/>
      <c r="H304" s="28">
        <v>12114.12</v>
      </c>
      <c r="I304" s="42">
        <f>H304/F304</f>
        <v>0.8076080000000001</v>
      </c>
      <c r="J304" s="56" t="s">
        <v>11</v>
      </c>
      <c r="K304" s="57">
        <v>2017</v>
      </c>
    </row>
    <row r="305" spans="1:11" ht="30.75" customHeight="1">
      <c r="A305" s="70" t="s">
        <v>482</v>
      </c>
      <c r="B305" s="70"/>
      <c r="C305" s="70"/>
      <c r="D305" s="70"/>
      <c r="E305" s="70"/>
      <c r="F305" s="70"/>
      <c r="G305" s="70"/>
      <c r="H305" s="70"/>
      <c r="I305" s="70"/>
      <c r="J305" s="56"/>
      <c r="K305" s="57"/>
    </row>
    <row r="306" spans="1:11" ht="30.75" customHeight="1">
      <c r="A306" s="73" t="s">
        <v>386</v>
      </c>
      <c r="B306" s="73"/>
      <c r="C306" s="73"/>
      <c r="D306" s="73"/>
      <c r="E306" s="73"/>
      <c r="F306" s="14">
        <f>F307</f>
        <v>6900</v>
      </c>
      <c r="G306" s="14">
        <f>G307</f>
        <v>0</v>
      </c>
      <c r="H306" s="14">
        <f>H307</f>
        <v>6849.99</v>
      </c>
      <c r="I306" s="47">
        <f>H306/F306</f>
        <v>0.9927521739130435</v>
      </c>
      <c r="J306" s="56"/>
      <c r="K306" s="57"/>
    </row>
    <row r="307" spans="1:11" ht="41.25" customHeight="1">
      <c r="A307" s="6">
        <v>126</v>
      </c>
      <c r="B307" s="6">
        <v>855</v>
      </c>
      <c r="C307" s="6">
        <v>85510</v>
      </c>
      <c r="D307" s="6" t="s">
        <v>387</v>
      </c>
      <c r="E307" s="4" t="s">
        <v>388</v>
      </c>
      <c r="F307" s="5">
        <v>6900</v>
      </c>
      <c r="G307" s="60"/>
      <c r="H307" s="28">
        <v>6849.99</v>
      </c>
      <c r="I307" s="42">
        <f>H307/F307</f>
        <v>0.9927521739130435</v>
      </c>
      <c r="J307" s="56" t="s">
        <v>11</v>
      </c>
      <c r="K307" s="57">
        <v>2017</v>
      </c>
    </row>
    <row r="308" spans="1:11" ht="30" customHeight="1">
      <c r="A308" s="70" t="s">
        <v>566</v>
      </c>
      <c r="B308" s="70"/>
      <c r="C308" s="70"/>
      <c r="D308" s="70"/>
      <c r="E308" s="70"/>
      <c r="F308" s="70"/>
      <c r="G308" s="70"/>
      <c r="H308" s="70"/>
      <c r="I308" s="70"/>
      <c r="J308" s="56"/>
      <c r="K308" s="57"/>
    </row>
    <row r="309" spans="1:11" ht="43.5" customHeight="1">
      <c r="A309" s="73" t="s">
        <v>266</v>
      </c>
      <c r="B309" s="73"/>
      <c r="C309" s="73"/>
      <c r="D309" s="73"/>
      <c r="E309" s="73"/>
      <c r="F309" s="14">
        <f>F310</f>
        <v>97626.5</v>
      </c>
      <c r="G309" s="14">
        <f>G310</f>
        <v>0</v>
      </c>
      <c r="H309" s="14">
        <f>H310</f>
        <v>43916.26</v>
      </c>
      <c r="I309" s="47">
        <f>H309/F309</f>
        <v>0.44983954151792804</v>
      </c>
      <c r="J309" s="56"/>
      <c r="K309" s="57"/>
    </row>
    <row r="310" spans="1:11" ht="46.5" customHeight="1">
      <c r="A310" s="6">
        <v>127</v>
      </c>
      <c r="B310" s="6">
        <v>855</v>
      </c>
      <c r="C310" s="6">
        <v>85595</v>
      </c>
      <c r="D310" s="6" t="s">
        <v>267</v>
      </c>
      <c r="E310" s="4" t="s">
        <v>287</v>
      </c>
      <c r="F310" s="5">
        <f>60000+500000-70000-350000-42373.5</f>
        <v>97626.5</v>
      </c>
      <c r="G310" s="60"/>
      <c r="H310" s="28">
        <v>43916.26</v>
      </c>
      <c r="I310" s="42">
        <f>H310/F310</f>
        <v>0.44983954151792804</v>
      </c>
      <c r="J310" s="56" t="s">
        <v>16</v>
      </c>
      <c r="K310" s="57" t="s">
        <v>416</v>
      </c>
    </row>
    <row r="311" spans="1:11" ht="51" customHeight="1">
      <c r="A311" s="70" t="s">
        <v>483</v>
      </c>
      <c r="B311" s="70"/>
      <c r="C311" s="70"/>
      <c r="D311" s="70"/>
      <c r="E311" s="70"/>
      <c r="F311" s="70"/>
      <c r="G311" s="70"/>
      <c r="H311" s="70"/>
      <c r="I311" s="70"/>
      <c r="J311" s="56"/>
      <c r="K311" s="57"/>
    </row>
    <row r="312" spans="1:11" ht="40.5" customHeight="1">
      <c r="A312" s="75" t="s">
        <v>124</v>
      </c>
      <c r="B312" s="75"/>
      <c r="C312" s="75"/>
      <c r="D312" s="75"/>
      <c r="E312" s="75"/>
      <c r="F312" s="15">
        <f>F313+F323+F326+F329+F332+F318</f>
        <v>11652557.32</v>
      </c>
      <c r="G312" s="15" t="e">
        <f>G313+G323+G326+G329+G332+G318</f>
        <v>#VALUE!</v>
      </c>
      <c r="H312" s="15">
        <f>H313+H323+H326+H329+H332+H318</f>
        <v>10738182.88</v>
      </c>
      <c r="I312" s="50">
        <f>H312/F312</f>
        <v>0.9215301487141709</v>
      </c>
      <c r="J312" s="56" t="s">
        <v>11</v>
      </c>
      <c r="K312" s="57">
        <v>2017</v>
      </c>
    </row>
    <row r="313" spans="1:11" ht="40.5" customHeight="1">
      <c r="A313" s="75" t="s">
        <v>125</v>
      </c>
      <c r="B313" s="75"/>
      <c r="C313" s="75"/>
      <c r="D313" s="75"/>
      <c r="E313" s="75"/>
      <c r="F313" s="15">
        <f>F314+F316</f>
        <v>107670.20000000001</v>
      </c>
      <c r="G313" s="15" t="e">
        <f>G314+G316</f>
        <v>#VALUE!</v>
      </c>
      <c r="H313" s="15">
        <f>H314+H316</f>
        <v>97000</v>
      </c>
      <c r="I313" s="50">
        <f>H313/F313</f>
        <v>0.9008992274556933</v>
      </c>
      <c r="J313" s="56"/>
      <c r="K313" s="57"/>
    </row>
    <row r="314" spans="1:11" ht="43.5" customHeight="1">
      <c r="A314" s="9">
        <v>128</v>
      </c>
      <c r="B314" s="9">
        <v>900</v>
      </c>
      <c r="C314" s="9">
        <v>90001</v>
      </c>
      <c r="D314" s="9" t="s">
        <v>126</v>
      </c>
      <c r="E314" s="7" t="s">
        <v>127</v>
      </c>
      <c r="F314" s="8">
        <f>344625.2-300000-33955</f>
        <v>10670.200000000012</v>
      </c>
      <c r="G314" s="43" t="s">
        <v>11</v>
      </c>
      <c r="H314" s="49">
        <v>0</v>
      </c>
      <c r="I314" s="43">
        <f>H314/F314</f>
        <v>0</v>
      </c>
      <c r="J314" s="56" t="s">
        <v>11</v>
      </c>
      <c r="K314" s="57">
        <v>2017</v>
      </c>
    </row>
    <row r="315" spans="1:11" ht="47.25" customHeight="1">
      <c r="A315" s="72" t="s">
        <v>600</v>
      </c>
      <c r="B315" s="72"/>
      <c r="C315" s="72"/>
      <c r="D315" s="72"/>
      <c r="E315" s="72"/>
      <c r="F315" s="72"/>
      <c r="G315" s="72"/>
      <c r="H315" s="72"/>
      <c r="I315" s="72"/>
      <c r="J315" s="56"/>
      <c r="K315" s="57"/>
    </row>
    <row r="316" spans="1:11" ht="43.5" customHeight="1">
      <c r="A316" s="9">
        <v>129</v>
      </c>
      <c r="B316" s="9">
        <v>900</v>
      </c>
      <c r="C316" s="9">
        <v>90001</v>
      </c>
      <c r="D316" s="9" t="s">
        <v>204</v>
      </c>
      <c r="E316" s="7" t="s">
        <v>205</v>
      </c>
      <c r="F316" s="8">
        <v>97000</v>
      </c>
      <c r="G316" s="64"/>
      <c r="H316" s="51">
        <v>97000</v>
      </c>
      <c r="I316" s="52">
        <f>H316/F316</f>
        <v>1</v>
      </c>
      <c r="J316" s="56" t="s">
        <v>16</v>
      </c>
      <c r="K316" s="57" t="s">
        <v>410</v>
      </c>
    </row>
    <row r="317" spans="1:11" ht="117.75" customHeight="1">
      <c r="A317" s="72" t="s">
        <v>495</v>
      </c>
      <c r="B317" s="72"/>
      <c r="C317" s="72"/>
      <c r="D317" s="72"/>
      <c r="E317" s="72"/>
      <c r="F317" s="72"/>
      <c r="G317" s="72"/>
      <c r="H317" s="72"/>
      <c r="I317" s="72"/>
      <c r="J317" s="56"/>
      <c r="K317" s="57"/>
    </row>
    <row r="318" spans="1:11" ht="42" customHeight="1">
      <c r="A318" s="75" t="s">
        <v>243</v>
      </c>
      <c r="B318" s="75"/>
      <c r="C318" s="75"/>
      <c r="D318" s="75"/>
      <c r="E318" s="75"/>
      <c r="F318" s="15">
        <f>F319+F321</f>
        <v>1003080</v>
      </c>
      <c r="G318" s="15">
        <f>G319+G321</f>
        <v>0</v>
      </c>
      <c r="H318" s="15">
        <f>H319+H321</f>
        <v>998008</v>
      </c>
      <c r="I318" s="53">
        <f>H318/F318</f>
        <v>0.9949435737927185</v>
      </c>
      <c r="J318" s="56"/>
      <c r="K318" s="57"/>
    </row>
    <row r="319" spans="1:11" ht="42.75" customHeight="1">
      <c r="A319" s="9">
        <v>130</v>
      </c>
      <c r="B319" s="9">
        <v>900</v>
      </c>
      <c r="C319" s="9">
        <v>90003</v>
      </c>
      <c r="D319" s="9" t="s">
        <v>244</v>
      </c>
      <c r="E319" s="7" t="s">
        <v>245</v>
      </c>
      <c r="F319" s="8">
        <f>12300+24000</f>
        <v>36300</v>
      </c>
      <c r="G319" s="64"/>
      <c r="H319" s="51">
        <v>31228</v>
      </c>
      <c r="I319" s="52">
        <f>H319/F319</f>
        <v>0.8602754820936639</v>
      </c>
      <c r="J319" s="56" t="s">
        <v>11</v>
      </c>
      <c r="K319" s="57">
        <v>2017</v>
      </c>
    </row>
    <row r="320" spans="1:11" ht="42.75" customHeight="1">
      <c r="A320" s="72" t="s">
        <v>567</v>
      </c>
      <c r="B320" s="72"/>
      <c r="C320" s="72"/>
      <c r="D320" s="72"/>
      <c r="E320" s="72"/>
      <c r="F320" s="72"/>
      <c r="G320" s="72"/>
      <c r="H320" s="72"/>
      <c r="I320" s="72"/>
      <c r="J320" s="56"/>
      <c r="K320" s="57"/>
    </row>
    <row r="321" spans="1:11" ht="42.75" customHeight="1">
      <c r="A321" s="9">
        <v>131</v>
      </c>
      <c r="B321" s="9">
        <v>900</v>
      </c>
      <c r="C321" s="9">
        <v>90003</v>
      </c>
      <c r="D321" s="9" t="s">
        <v>268</v>
      </c>
      <c r="E321" s="7" t="s">
        <v>269</v>
      </c>
      <c r="F321" s="8">
        <f>1073000-106220</f>
        <v>966780</v>
      </c>
      <c r="G321" s="64"/>
      <c r="H321" s="51">
        <v>966780</v>
      </c>
      <c r="I321" s="52">
        <f>H321/F321</f>
        <v>1</v>
      </c>
      <c r="J321" s="56" t="s">
        <v>11</v>
      </c>
      <c r="K321" s="57">
        <v>2017</v>
      </c>
    </row>
    <row r="322" spans="1:11" ht="39" customHeight="1">
      <c r="A322" s="72" t="s">
        <v>494</v>
      </c>
      <c r="B322" s="72"/>
      <c r="C322" s="72"/>
      <c r="D322" s="72"/>
      <c r="E322" s="72"/>
      <c r="F322" s="72"/>
      <c r="G322" s="72"/>
      <c r="H322" s="72"/>
      <c r="I322" s="72"/>
      <c r="J322" s="56"/>
      <c r="K322" s="57"/>
    </row>
    <row r="323" spans="1:11" ht="43.5" customHeight="1">
      <c r="A323" s="75" t="s">
        <v>128</v>
      </c>
      <c r="B323" s="75"/>
      <c r="C323" s="75"/>
      <c r="D323" s="75"/>
      <c r="E323" s="75"/>
      <c r="F323" s="15">
        <f>F324</f>
        <v>323685.22</v>
      </c>
      <c r="G323" s="15">
        <f>G324</f>
        <v>0</v>
      </c>
      <c r="H323" s="15">
        <f>H324</f>
        <v>314096.77</v>
      </c>
      <c r="I323" s="53">
        <f>H323/F323</f>
        <v>0.9703772387259451</v>
      </c>
      <c r="J323" s="56"/>
      <c r="K323" s="57"/>
    </row>
    <row r="324" spans="1:11" ht="42" customHeight="1">
      <c r="A324" s="9">
        <v>132</v>
      </c>
      <c r="B324" s="9">
        <v>900</v>
      </c>
      <c r="C324" s="9">
        <v>90005</v>
      </c>
      <c r="D324" s="9" t="s">
        <v>129</v>
      </c>
      <c r="E324" s="7" t="s">
        <v>130</v>
      </c>
      <c r="F324" s="8">
        <f>200000+68419.5+12533.04+5000+37732.68</f>
        <v>323685.22</v>
      </c>
      <c r="G324" s="65"/>
      <c r="H324" s="49">
        <v>314096.77</v>
      </c>
      <c r="I324" s="43">
        <f>H324/F324</f>
        <v>0.9703772387259451</v>
      </c>
      <c r="J324" s="56" t="s">
        <v>16</v>
      </c>
      <c r="K324" s="57" t="s">
        <v>426</v>
      </c>
    </row>
    <row r="325" spans="1:11" ht="73.5" customHeight="1">
      <c r="A325" s="72" t="s">
        <v>568</v>
      </c>
      <c r="B325" s="72"/>
      <c r="C325" s="72"/>
      <c r="D325" s="72"/>
      <c r="E325" s="72"/>
      <c r="F325" s="72"/>
      <c r="G325" s="72"/>
      <c r="H325" s="72"/>
      <c r="I325" s="72"/>
      <c r="J325" s="56"/>
      <c r="K325" s="57"/>
    </row>
    <row r="326" spans="1:11" ht="42" customHeight="1">
      <c r="A326" s="75" t="s">
        <v>131</v>
      </c>
      <c r="B326" s="75"/>
      <c r="C326" s="75"/>
      <c r="D326" s="75"/>
      <c r="E326" s="75"/>
      <c r="F326" s="15">
        <f>F327</f>
        <v>467974.80000000005</v>
      </c>
      <c r="G326" s="15" t="str">
        <f>G327</f>
        <v>WPF</v>
      </c>
      <c r="H326" s="15">
        <f>H327</f>
        <v>443033.1</v>
      </c>
      <c r="I326" s="50">
        <f>H326/F326</f>
        <v>0.9467028993868899</v>
      </c>
      <c r="J326" s="56"/>
      <c r="K326" s="57"/>
    </row>
    <row r="327" spans="1:11" ht="42" customHeight="1">
      <c r="A327" s="3">
        <v>133</v>
      </c>
      <c r="B327" s="3">
        <v>900</v>
      </c>
      <c r="C327" s="3">
        <v>90015</v>
      </c>
      <c r="D327" s="3" t="s">
        <v>132</v>
      </c>
      <c r="E327" s="10" t="s">
        <v>360</v>
      </c>
      <c r="F327" s="29">
        <f>100000+348454.9+19519.9</f>
        <v>467974.80000000005</v>
      </c>
      <c r="G327" s="41" t="s">
        <v>16</v>
      </c>
      <c r="H327" s="26">
        <v>443033.1</v>
      </c>
      <c r="I327" s="41">
        <f>H327/F327</f>
        <v>0.9467028993868899</v>
      </c>
      <c r="J327" s="56" t="s">
        <v>16</v>
      </c>
      <c r="K327" s="57" t="s">
        <v>412</v>
      </c>
    </row>
    <row r="328" spans="1:11" ht="123.75" customHeight="1">
      <c r="A328" s="71" t="s">
        <v>601</v>
      </c>
      <c r="B328" s="70"/>
      <c r="C328" s="70"/>
      <c r="D328" s="70"/>
      <c r="E328" s="70"/>
      <c r="F328" s="70"/>
      <c r="G328" s="70"/>
      <c r="H328" s="70"/>
      <c r="I328" s="70"/>
      <c r="J328" s="56"/>
      <c r="K328" s="57"/>
    </row>
    <row r="329" spans="1:11" ht="39" customHeight="1">
      <c r="A329" s="73" t="s">
        <v>133</v>
      </c>
      <c r="B329" s="73"/>
      <c r="C329" s="73"/>
      <c r="D329" s="73"/>
      <c r="E329" s="73"/>
      <c r="F329" s="14">
        <f>F330</f>
        <v>24403.199999999997</v>
      </c>
      <c r="G329" s="14" t="str">
        <f>G330</f>
        <v>WPF</v>
      </c>
      <c r="H329" s="14">
        <f>H330</f>
        <v>24403.2</v>
      </c>
      <c r="I329" s="47">
        <f>H329/F329</f>
        <v>1.0000000000000002</v>
      </c>
      <c r="J329" s="56"/>
      <c r="K329" s="57"/>
    </row>
    <row r="330" spans="1:11" ht="43.5" customHeight="1">
      <c r="A330" s="6">
        <v>134</v>
      </c>
      <c r="B330" s="6">
        <v>900</v>
      </c>
      <c r="C330" s="6">
        <v>90078</v>
      </c>
      <c r="D330" s="6" t="s">
        <v>134</v>
      </c>
      <c r="E330" s="30" t="s">
        <v>135</v>
      </c>
      <c r="F330" s="5">
        <f>16268.8+8134.4</f>
        <v>24403.199999999997</v>
      </c>
      <c r="G330" s="42" t="s">
        <v>16</v>
      </c>
      <c r="H330" s="28">
        <v>24403.2</v>
      </c>
      <c r="I330" s="42">
        <f>H330/F330</f>
        <v>1.0000000000000002</v>
      </c>
      <c r="J330" s="56" t="s">
        <v>16</v>
      </c>
      <c r="K330" s="57" t="s">
        <v>410</v>
      </c>
    </row>
    <row r="331" spans="1:11" ht="39" customHeight="1">
      <c r="A331" s="70" t="s">
        <v>456</v>
      </c>
      <c r="B331" s="70"/>
      <c r="C331" s="70"/>
      <c r="D331" s="70"/>
      <c r="E331" s="70"/>
      <c r="F331" s="70"/>
      <c r="G331" s="70"/>
      <c r="H331" s="70"/>
      <c r="I331" s="70"/>
      <c r="J331" s="56"/>
      <c r="K331" s="57"/>
    </row>
    <row r="332" spans="1:11" ht="42" customHeight="1">
      <c r="A332" s="73" t="s">
        <v>136</v>
      </c>
      <c r="B332" s="73"/>
      <c r="C332" s="73"/>
      <c r="D332" s="73"/>
      <c r="E332" s="73"/>
      <c r="F332" s="14">
        <f>F333+F335+F339+F341+F337+F345+F347+F343+F349</f>
        <v>9725743.9</v>
      </c>
      <c r="G332" s="14" t="e">
        <f>G333+G335+G339+G341+G337+G345+G347+G343+G349</f>
        <v>#VALUE!</v>
      </c>
      <c r="H332" s="14">
        <f>H333+H335+H339+H341+H337+H345+H347+H343+H349</f>
        <v>8861641.81</v>
      </c>
      <c r="I332" s="47">
        <f>H332/F332</f>
        <v>0.9111531108689794</v>
      </c>
      <c r="J332" s="56"/>
      <c r="K332" s="57"/>
    </row>
    <row r="333" spans="1:11" ht="36.75" customHeight="1">
      <c r="A333" s="3">
        <v>135</v>
      </c>
      <c r="B333" s="3">
        <v>900</v>
      </c>
      <c r="C333" s="3">
        <v>90095</v>
      </c>
      <c r="D333" s="3" t="s">
        <v>137</v>
      </c>
      <c r="E333" s="10" t="s">
        <v>138</v>
      </c>
      <c r="F333" s="29">
        <f>180443+19557+65000-4000</f>
        <v>261000</v>
      </c>
      <c r="G333" s="41" t="s">
        <v>11</v>
      </c>
      <c r="H333" s="26">
        <v>259503.16</v>
      </c>
      <c r="I333" s="41">
        <f>H333/F333</f>
        <v>0.9942649808429119</v>
      </c>
      <c r="J333" s="56" t="s">
        <v>16</v>
      </c>
      <c r="K333" s="57" t="s">
        <v>418</v>
      </c>
    </row>
    <row r="334" spans="1:11" ht="45" customHeight="1">
      <c r="A334" s="70" t="s">
        <v>450</v>
      </c>
      <c r="B334" s="70"/>
      <c r="C334" s="70"/>
      <c r="D334" s="70"/>
      <c r="E334" s="70"/>
      <c r="F334" s="70"/>
      <c r="G334" s="70"/>
      <c r="H334" s="70"/>
      <c r="I334" s="70"/>
      <c r="J334" s="56"/>
      <c r="K334" s="57"/>
    </row>
    <row r="335" spans="1:11" ht="42.75" customHeight="1">
      <c r="A335" s="6">
        <v>136</v>
      </c>
      <c r="B335" s="6">
        <v>900</v>
      </c>
      <c r="C335" s="6">
        <v>90095</v>
      </c>
      <c r="D335" s="6" t="s">
        <v>139</v>
      </c>
      <c r="E335" s="30" t="s">
        <v>140</v>
      </c>
      <c r="F335" s="5">
        <f>320602.6-287215.34+33955</f>
        <v>67342.25999999995</v>
      </c>
      <c r="G335" s="42" t="s">
        <v>16</v>
      </c>
      <c r="H335" s="28">
        <v>67201.67</v>
      </c>
      <c r="I335" s="42">
        <f>H335/F335</f>
        <v>0.9979123064773895</v>
      </c>
      <c r="J335" s="56" t="s">
        <v>16</v>
      </c>
      <c r="K335" s="57" t="s">
        <v>419</v>
      </c>
    </row>
    <row r="336" spans="1:11" ht="51" customHeight="1">
      <c r="A336" s="70" t="s">
        <v>569</v>
      </c>
      <c r="B336" s="70"/>
      <c r="C336" s="70"/>
      <c r="D336" s="70"/>
      <c r="E336" s="70"/>
      <c r="F336" s="70"/>
      <c r="G336" s="70"/>
      <c r="H336" s="70"/>
      <c r="I336" s="70"/>
      <c r="J336" s="56"/>
      <c r="K336" s="57"/>
    </row>
    <row r="337" spans="1:11" ht="47.25" customHeight="1">
      <c r="A337" s="6">
        <v>137</v>
      </c>
      <c r="B337" s="6">
        <v>900</v>
      </c>
      <c r="C337" s="6">
        <v>90095</v>
      </c>
      <c r="D337" s="6" t="s">
        <v>206</v>
      </c>
      <c r="E337" s="4" t="s">
        <v>207</v>
      </c>
      <c r="F337" s="5">
        <v>17295.28</v>
      </c>
      <c r="G337" s="17"/>
      <c r="H337" s="28">
        <v>17285.28</v>
      </c>
      <c r="I337" s="42">
        <f>H337/F337</f>
        <v>0.9994218075683077</v>
      </c>
      <c r="J337" s="56" t="s">
        <v>16</v>
      </c>
      <c r="K337" s="57" t="s">
        <v>412</v>
      </c>
    </row>
    <row r="338" spans="1:11" ht="36" customHeight="1">
      <c r="A338" s="70" t="s">
        <v>451</v>
      </c>
      <c r="B338" s="70"/>
      <c r="C338" s="70"/>
      <c r="D338" s="70"/>
      <c r="E338" s="70"/>
      <c r="F338" s="70"/>
      <c r="G338" s="70"/>
      <c r="H338" s="70"/>
      <c r="I338" s="70"/>
      <c r="J338" s="56"/>
      <c r="K338" s="57"/>
    </row>
    <row r="339" spans="1:11" ht="46.5" customHeight="1">
      <c r="A339" s="6">
        <v>138</v>
      </c>
      <c r="B339" s="6">
        <v>900</v>
      </c>
      <c r="C339" s="6">
        <v>90095</v>
      </c>
      <c r="D339" s="6" t="s">
        <v>141</v>
      </c>
      <c r="E339" s="4" t="s">
        <v>246</v>
      </c>
      <c r="F339" s="5">
        <f>6000000-40634.64+2531401.36-1394750.83</f>
        <v>7096015.890000001</v>
      </c>
      <c r="G339" s="42" t="s">
        <v>11</v>
      </c>
      <c r="H339" s="28">
        <f>3107636.4+3734243.53</f>
        <v>6841879.93</v>
      </c>
      <c r="I339" s="42">
        <f>H339/F339</f>
        <v>0.9641861061277864</v>
      </c>
      <c r="J339" s="57" t="s">
        <v>407</v>
      </c>
      <c r="K339" s="57" t="s">
        <v>416</v>
      </c>
    </row>
    <row r="340" spans="1:11" ht="55.5" customHeight="1">
      <c r="A340" s="70" t="s">
        <v>602</v>
      </c>
      <c r="B340" s="70"/>
      <c r="C340" s="70"/>
      <c r="D340" s="70"/>
      <c r="E340" s="70"/>
      <c r="F340" s="70"/>
      <c r="G340" s="70"/>
      <c r="H340" s="70"/>
      <c r="I340" s="70"/>
      <c r="J340" s="56"/>
      <c r="K340" s="57"/>
    </row>
    <row r="341" spans="1:11" ht="46.5" customHeight="1">
      <c r="A341" s="6">
        <v>139</v>
      </c>
      <c r="B341" s="6">
        <v>900</v>
      </c>
      <c r="C341" s="6">
        <v>90095</v>
      </c>
      <c r="D341" s="6" t="s">
        <v>142</v>
      </c>
      <c r="E341" s="4" t="s">
        <v>455</v>
      </c>
      <c r="F341" s="5">
        <f>19000000+78942.55-14800000+7371057.45+4500000-7000000-7700000</f>
        <v>1450000</v>
      </c>
      <c r="G341" s="17"/>
      <c r="H341" s="28">
        <v>1144644.11</v>
      </c>
      <c r="I341" s="42">
        <f>H341/F341</f>
        <v>0.7894097310344829</v>
      </c>
      <c r="J341" s="57" t="s">
        <v>427</v>
      </c>
      <c r="K341" s="57" t="s">
        <v>425</v>
      </c>
    </row>
    <row r="342" spans="1:11" ht="138.75" customHeight="1">
      <c r="A342" s="70" t="s">
        <v>570</v>
      </c>
      <c r="B342" s="70"/>
      <c r="C342" s="70"/>
      <c r="D342" s="70"/>
      <c r="E342" s="70"/>
      <c r="F342" s="70"/>
      <c r="G342" s="70"/>
      <c r="H342" s="70"/>
      <c r="I342" s="70"/>
      <c r="J342" s="56"/>
      <c r="K342" s="57"/>
    </row>
    <row r="343" spans="1:11" ht="37.5" customHeight="1">
      <c r="A343" s="6">
        <v>140</v>
      </c>
      <c r="B343" s="6">
        <v>900</v>
      </c>
      <c r="C343" s="6">
        <v>90095</v>
      </c>
      <c r="D343" s="6" t="s">
        <v>288</v>
      </c>
      <c r="E343" s="4" t="s">
        <v>289</v>
      </c>
      <c r="F343" s="5">
        <f>450000-50000-150000</f>
        <v>250000</v>
      </c>
      <c r="G343" s="17"/>
      <c r="H343" s="28">
        <v>0</v>
      </c>
      <c r="I343" s="42">
        <f>H343/F343</f>
        <v>0</v>
      </c>
      <c r="J343" s="56" t="s">
        <v>16</v>
      </c>
      <c r="K343" s="57" t="s">
        <v>416</v>
      </c>
    </row>
    <row r="344" spans="1:11" ht="37.5" customHeight="1">
      <c r="A344" s="70" t="s">
        <v>454</v>
      </c>
      <c r="B344" s="70"/>
      <c r="C344" s="70"/>
      <c r="D344" s="70"/>
      <c r="E344" s="70"/>
      <c r="F344" s="70"/>
      <c r="G344" s="70"/>
      <c r="H344" s="70"/>
      <c r="I344" s="70"/>
      <c r="J344" s="56"/>
      <c r="K344" s="57"/>
    </row>
    <row r="345" spans="1:11" ht="37.5" customHeight="1">
      <c r="A345" s="6">
        <v>141</v>
      </c>
      <c r="B345" s="6">
        <v>900</v>
      </c>
      <c r="C345" s="6">
        <v>90095</v>
      </c>
      <c r="D345" s="6" t="s">
        <v>221</v>
      </c>
      <c r="E345" s="4" t="s">
        <v>222</v>
      </c>
      <c r="F345" s="5">
        <v>127920</v>
      </c>
      <c r="G345" s="17"/>
      <c r="H345" s="28">
        <v>127561.21</v>
      </c>
      <c r="I345" s="42">
        <f>H345/F345</f>
        <v>0.9971952001250782</v>
      </c>
      <c r="J345" s="56" t="s">
        <v>11</v>
      </c>
      <c r="K345" s="57">
        <v>2017</v>
      </c>
    </row>
    <row r="346" spans="1:11" ht="64.5" customHeight="1">
      <c r="A346" s="70" t="s">
        <v>447</v>
      </c>
      <c r="B346" s="70"/>
      <c r="C346" s="70"/>
      <c r="D346" s="70"/>
      <c r="E346" s="70"/>
      <c r="F346" s="70"/>
      <c r="G346" s="70"/>
      <c r="H346" s="70"/>
      <c r="I346" s="70"/>
      <c r="J346" s="56"/>
      <c r="K346" s="57"/>
    </row>
    <row r="347" spans="1:11" ht="47.25" customHeight="1">
      <c r="A347" s="6">
        <v>142</v>
      </c>
      <c r="B347" s="6">
        <v>900</v>
      </c>
      <c r="C347" s="6">
        <v>90095</v>
      </c>
      <c r="D347" s="6" t="s">
        <v>247</v>
      </c>
      <c r="E347" s="4" t="s">
        <v>248</v>
      </c>
      <c r="F347" s="5">
        <v>40634.64</v>
      </c>
      <c r="G347" s="17"/>
      <c r="H347" s="28">
        <f>28592.99+5045.88</f>
        <v>33638.87</v>
      </c>
      <c r="I347" s="42">
        <f>H347/F347</f>
        <v>0.8278372836574903</v>
      </c>
      <c r="J347" s="56" t="s">
        <v>446</v>
      </c>
      <c r="K347" s="57" t="s">
        <v>416</v>
      </c>
    </row>
    <row r="348" spans="1:11" ht="53.25" customHeight="1">
      <c r="A348" s="70" t="s">
        <v>445</v>
      </c>
      <c r="B348" s="70"/>
      <c r="C348" s="70"/>
      <c r="D348" s="70"/>
      <c r="E348" s="70"/>
      <c r="F348" s="70"/>
      <c r="G348" s="70"/>
      <c r="H348" s="70"/>
      <c r="I348" s="70"/>
      <c r="J348" s="56"/>
      <c r="K348" s="57"/>
    </row>
    <row r="349" spans="1:11" ht="47.25" customHeight="1">
      <c r="A349" s="6">
        <v>143</v>
      </c>
      <c r="B349" s="6">
        <v>900</v>
      </c>
      <c r="C349" s="6">
        <v>90095</v>
      </c>
      <c r="D349" s="6" t="s">
        <v>361</v>
      </c>
      <c r="E349" s="4" t="s">
        <v>362</v>
      </c>
      <c r="F349" s="5">
        <f>23370+168165.83+224000</f>
        <v>415535.82999999996</v>
      </c>
      <c r="G349" s="17"/>
      <c r="H349" s="28">
        <v>369927.58</v>
      </c>
      <c r="I349" s="42">
        <f>H349/F349</f>
        <v>0.8902423167696515</v>
      </c>
      <c r="J349" s="56" t="s">
        <v>11</v>
      </c>
      <c r="K349" s="57">
        <v>2017</v>
      </c>
    </row>
    <row r="350" spans="1:11" ht="42.75" customHeight="1">
      <c r="A350" s="74" t="s">
        <v>577</v>
      </c>
      <c r="B350" s="70"/>
      <c r="C350" s="70"/>
      <c r="D350" s="70"/>
      <c r="E350" s="70"/>
      <c r="F350" s="70"/>
      <c r="G350" s="70"/>
      <c r="H350" s="70"/>
      <c r="I350" s="70"/>
      <c r="J350" s="56"/>
      <c r="K350" s="57"/>
    </row>
    <row r="351" spans="1:11" ht="36.75" customHeight="1">
      <c r="A351" s="73" t="s">
        <v>143</v>
      </c>
      <c r="B351" s="73"/>
      <c r="C351" s="73"/>
      <c r="D351" s="73"/>
      <c r="E351" s="73"/>
      <c r="F351" s="14">
        <f>F363+F355+F358+F352</f>
        <v>1242541.3099999998</v>
      </c>
      <c r="G351" s="14" t="e">
        <f>G363+G355+G358+G352</f>
        <v>#VALUE!</v>
      </c>
      <c r="H351" s="14">
        <f>H363+H355+H358+H352</f>
        <v>1228513.9300000002</v>
      </c>
      <c r="I351" s="47">
        <f>H351/F351</f>
        <v>0.9887107334886116</v>
      </c>
      <c r="J351" s="56"/>
      <c r="K351" s="57"/>
    </row>
    <row r="352" spans="1:11" ht="36.75" customHeight="1">
      <c r="A352" s="73" t="s">
        <v>307</v>
      </c>
      <c r="B352" s="73"/>
      <c r="C352" s="73"/>
      <c r="D352" s="73"/>
      <c r="E352" s="73"/>
      <c r="F352" s="14">
        <f>F353</f>
        <v>51000</v>
      </c>
      <c r="G352" s="14">
        <f>G353</f>
        <v>0</v>
      </c>
      <c r="H352" s="14">
        <f>H353</f>
        <v>46244.21</v>
      </c>
      <c r="I352" s="47">
        <f>H352/F352</f>
        <v>0.9067492156862745</v>
      </c>
      <c r="J352" s="56"/>
      <c r="K352" s="57"/>
    </row>
    <row r="353" spans="1:11" ht="30" customHeight="1">
      <c r="A353" s="6">
        <v>144</v>
      </c>
      <c r="B353" s="6">
        <v>921</v>
      </c>
      <c r="C353" s="6">
        <v>92108</v>
      </c>
      <c r="D353" s="6" t="s">
        <v>249</v>
      </c>
      <c r="E353" s="4" t="s">
        <v>250</v>
      </c>
      <c r="F353" s="5">
        <v>51000</v>
      </c>
      <c r="G353" s="17"/>
      <c r="H353" s="28">
        <v>46244.21</v>
      </c>
      <c r="I353" s="42">
        <f>H353/F353</f>
        <v>0.9067492156862745</v>
      </c>
      <c r="J353" s="56" t="s">
        <v>11</v>
      </c>
      <c r="K353" s="57">
        <v>2017</v>
      </c>
    </row>
    <row r="354" spans="1:11" ht="29.25" customHeight="1">
      <c r="A354" s="70" t="s">
        <v>460</v>
      </c>
      <c r="B354" s="70"/>
      <c r="C354" s="70"/>
      <c r="D354" s="70"/>
      <c r="E354" s="70"/>
      <c r="F354" s="70"/>
      <c r="G354" s="70"/>
      <c r="H354" s="70"/>
      <c r="I354" s="70"/>
      <c r="J354" s="56"/>
      <c r="K354" s="57"/>
    </row>
    <row r="355" spans="1:11" ht="36.75" customHeight="1">
      <c r="A355" s="73" t="s">
        <v>306</v>
      </c>
      <c r="B355" s="73"/>
      <c r="C355" s="73"/>
      <c r="D355" s="73"/>
      <c r="E355" s="73"/>
      <c r="F355" s="14">
        <f>F356</f>
        <v>1006061.3099999998</v>
      </c>
      <c r="G355" s="14">
        <f>G356</f>
        <v>0</v>
      </c>
      <c r="H355" s="14">
        <f>H356</f>
        <v>1006061.31</v>
      </c>
      <c r="I355" s="47">
        <f>H355/F355</f>
        <v>1.0000000000000002</v>
      </c>
      <c r="J355" s="56"/>
      <c r="K355" s="57"/>
    </row>
    <row r="356" spans="1:11" ht="36.75" customHeight="1">
      <c r="A356" s="6">
        <v>145</v>
      </c>
      <c r="B356" s="6">
        <v>921</v>
      </c>
      <c r="C356" s="6">
        <v>92109</v>
      </c>
      <c r="D356" s="6" t="s">
        <v>223</v>
      </c>
      <c r="E356" s="4" t="s">
        <v>224</v>
      </c>
      <c r="F356" s="5">
        <f>791000+1089375.01+1150000-200000-419125.11-1405188.59</f>
        <v>1006061.3099999998</v>
      </c>
      <c r="G356" s="17"/>
      <c r="H356" s="28">
        <v>1006061.31</v>
      </c>
      <c r="I356" s="42">
        <f>H356/F356</f>
        <v>1.0000000000000002</v>
      </c>
      <c r="J356" s="57" t="s">
        <v>427</v>
      </c>
      <c r="K356" s="57" t="s">
        <v>416</v>
      </c>
    </row>
    <row r="357" spans="1:11" ht="52.5" customHeight="1">
      <c r="A357" s="70" t="s">
        <v>604</v>
      </c>
      <c r="B357" s="70"/>
      <c r="C357" s="70"/>
      <c r="D357" s="70"/>
      <c r="E357" s="70"/>
      <c r="F357" s="70"/>
      <c r="G357" s="70"/>
      <c r="H357" s="70"/>
      <c r="I357" s="70"/>
      <c r="J357" s="56"/>
      <c r="K357" s="57"/>
    </row>
    <row r="358" spans="1:11" ht="48.75" customHeight="1">
      <c r="A358" s="73" t="s">
        <v>603</v>
      </c>
      <c r="B358" s="73"/>
      <c r="C358" s="73"/>
      <c r="D358" s="73"/>
      <c r="E358" s="73"/>
      <c r="F358" s="14">
        <f>F359+F361</f>
        <v>69880</v>
      </c>
      <c r="G358" s="14">
        <f>G359+G361</f>
        <v>0</v>
      </c>
      <c r="H358" s="14">
        <f>H359+H361</f>
        <v>68396.8</v>
      </c>
      <c r="I358" s="47">
        <f>H358/F358</f>
        <v>0.9787750429307385</v>
      </c>
      <c r="J358" s="56"/>
      <c r="K358" s="57"/>
    </row>
    <row r="359" spans="1:11" ht="48.75" customHeight="1">
      <c r="A359" s="6">
        <v>146</v>
      </c>
      <c r="B359" s="6">
        <v>921</v>
      </c>
      <c r="C359" s="6">
        <v>92110</v>
      </c>
      <c r="D359" s="6" t="s">
        <v>225</v>
      </c>
      <c r="E359" s="4" t="s">
        <v>226</v>
      </c>
      <c r="F359" s="5">
        <f>50000+70000-60000</f>
        <v>60000</v>
      </c>
      <c r="G359" s="17"/>
      <c r="H359" s="28">
        <v>58516.8</v>
      </c>
      <c r="I359" s="42">
        <f>H359/F359</f>
        <v>0.97528</v>
      </c>
      <c r="J359" s="56" t="s">
        <v>11</v>
      </c>
      <c r="K359" s="57">
        <v>2017</v>
      </c>
    </row>
    <row r="360" spans="1:11" ht="53.25" customHeight="1">
      <c r="A360" s="70" t="s">
        <v>605</v>
      </c>
      <c r="B360" s="70"/>
      <c r="C360" s="70"/>
      <c r="D360" s="70"/>
      <c r="E360" s="70"/>
      <c r="F360" s="70"/>
      <c r="G360" s="70"/>
      <c r="H360" s="70"/>
      <c r="I360" s="70"/>
      <c r="J360" s="56"/>
      <c r="K360" s="57"/>
    </row>
    <row r="361" spans="1:11" ht="44.25" customHeight="1">
      <c r="A361" s="6">
        <v>147</v>
      </c>
      <c r="B361" s="6">
        <v>921</v>
      </c>
      <c r="C361" s="6">
        <v>92110</v>
      </c>
      <c r="D361" s="6" t="s">
        <v>249</v>
      </c>
      <c r="E361" s="4" t="s">
        <v>250</v>
      </c>
      <c r="F361" s="5">
        <v>9880</v>
      </c>
      <c r="G361" s="17"/>
      <c r="H361" s="28">
        <v>9880</v>
      </c>
      <c r="I361" s="42">
        <f>H361/F361</f>
        <v>1</v>
      </c>
      <c r="J361" s="56" t="s">
        <v>11</v>
      </c>
      <c r="K361" s="57">
        <v>2017</v>
      </c>
    </row>
    <row r="362" spans="1:11" ht="44.25" customHeight="1">
      <c r="A362" s="70" t="s">
        <v>461</v>
      </c>
      <c r="B362" s="70"/>
      <c r="C362" s="70"/>
      <c r="D362" s="70"/>
      <c r="E362" s="70"/>
      <c r="F362" s="70"/>
      <c r="G362" s="70"/>
      <c r="H362" s="70"/>
      <c r="I362" s="70"/>
      <c r="J362" s="56"/>
      <c r="K362" s="57"/>
    </row>
    <row r="363" spans="1:11" ht="34.5" customHeight="1">
      <c r="A363" s="73" t="s">
        <v>144</v>
      </c>
      <c r="B363" s="73"/>
      <c r="C363" s="73"/>
      <c r="D363" s="73"/>
      <c r="E363" s="73"/>
      <c r="F363" s="14">
        <f>F364+F366</f>
        <v>115600</v>
      </c>
      <c r="G363" s="14" t="e">
        <f>G364+G366</f>
        <v>#VALUE!</v>
      </c>
      <c r="H363" s="14">
        <f>H364+H366</f>
        <v>107811.61</v>
      </c>
      <c r="I363" s="47">
        <f>H363/F363</f>
        <v>0.932626384083045</v>
      </c>
      <c r="J363" s="56"/>
      <c r="K363" s="57"/>
    </row>
    <row r="364" spans="1:11" ht="41.25" customHeight="1">
      <c r="A364" s="6">
        <v>148</v>
      </c>
      <c r="B364" s="6">
        <v>921</v>
      </c>
      <c r="C364" s="6">
        <v>92116</v>
      </c>
      <c r="D364" s="6" t="s">
        <v>145</v>
      </c>
      <c r="E364" s="4" t="s">
        <v>146</v>
      </c>
      <c r="F364" s="5">
        <v>100000</v>
      </c>
      <c r="G364" s="42" t="s">
        <v>16</v>
      </c>
      <c r="H364" s="28">
        <v>92212.03</v>
      </c>
      <c r="I364" s="42">
        <f>H364/F364</f>
        <v>0.9221203</v>
      </c>
      <c r="J364" s="56" t="s">
        <v>16</v>
      </c>
      <c r="K364" s="57" t="s">
        <v>428</v>
      </c>
    </row>
    <row r="365" spans="1:11" ht="45" customHeight="1">
      <c r="A365" s="70" t="s">
        <v>481</v>
      </c>
      <c r="B365" s="70"/>
      <c r="C365" s="70"/>
      <c r="D365" s="70"/>
      <c r="E365" s="70"/>
      <c r="F365" s="70"/>
      <c r="G365" s="70"/>
      <c r="H365" s="70"/>
      <c r="I365" s="70"/>
      <c r="J365" s="56"/>
      <c r="K365" s="57"/>
    </row>
    <row r="366" spans="1:11" ht="45" customHeight="1">
      <c r="A366" s="6">
        <v>149</v>
      </c>
      <c r="B366" s="6">
        <v>921</v>
      </c>
      <c r="C366" s="6">
        <v>92116</v>
      </c>
      <c r="D366" s="6" t="s">
        <v>249</v>
      </c>
      <c r="E366" s="4" t="s">
        <v>250</v>
      </c>
      <c r="F366" s="5">
        <v>15600</v>
      </c>
      <c r="G366" s="17"/>
      <c r="H366" s="28">
        <v>15599.58</v>
      </c>
      <c r="I366" s="42">
        <v>0.9999</v>
      </c>
      <c r="J366" s="56" t="s">
        <v>11</v>
      </c>
      <c r="K366" s="57">
        <v>2017</v>
      </c>
    </row>
    <row r="367" spans="1:11" ht="45" customHeight="1">
      <c r="A367" s="70" t="s">
        <v>572</v>
      </c>
      <c r="B367" s="70"/>
      <c r="C367" s="70"/>
      <c r="D367" s="70"/>
      <c r="E367" s="70"/>
      <c r="F367" s="70"/>
      <c r="G367" s="70"/>
      <c r="H367" s="70"/>
      <c r="I367" s="70"/>
      <c r="J367" s="56"/>
      <c r="K367" s="57"/>
    </row>
    <row r="368" spans="1:11" ht="38.25" customHeight="1">
      <c r="A368" s="73" t="s">
        <v>392</v>
      </c>
      <c r="B368" s="73"/>
      <c r="C368" s="73"/>
      <c r="D368" s="73"/>
      <c r="E368" s="73"/>
      <c r="F368" s="14">
        <f>F369</f>
        <v>725400</v>
      </c>
      <c r="G368" s="14" t="e">
        <f>G369</f>
        <v>#VALUE!</v>
      </c>
      <c r="H368" s="14">
        <f>H369</f>
        <v>723687.24</v>
      </c>
      <c r="I368" s="47">
        <f>H368/F368</f>
        <v>0.9976388751033912</v>
      </c>
      <c r="J368" s="56"/>
      <c r="K368" s="57"/>
    </row>
    <row r="369" spans="1:11" ht="40.5" customHeight="1">
      <c r="A369" s="73" t="s">
        <v>147</v>
      </c>
      <c r="B369" s="73"/>
      <c r="C369" s="73"/>
      <c r="D369" s="73"/>
      <c r="E369" s="73"/>
      <c r="F369" s="14">
        <f>F370+F372+F374+F376</f>
        <v>725400</v>
      </c>
      <c r="G369" s="14" t="e">
        <f>G370+G372+G374+G376</f>
        <v>#VALUE!</v>
      </c>
      <c r="H369" s="14">
        <f>H370+H372+H374+H376</f>
        <v>723687.24</v>
      </c>
      <c r="I369" s="47">
        <f>H369/F369</f>
        <v>0.9976388751033912</v>
      </c>
      <c r="J369" s="56"/>
      <c r="K369" s="57"/>
    </row>
    <row r="370" spans="1:11" ht="31.5" customHeight="1">
      <c r="A370" s="3">
        <v>150</v>
      </c>
      <c r="B370" s="3">
        <v>925</v>
      </c>
      <c r="C370" s="3">
        <v>92504</v>
      </c>
      <c r="D370" s="3" t="s">
        <v>148</v>
      </c>
      <c r="E370" s="10" t="s">
        <v>149</v>
      </c>
      <c r="F370" s="29">
        <f>1774999.48+14161.86+54400-1789161.34</f>
        <v>54400</v>
      </c>
      <c r="G370" s="41" t="s">
        <v>16</v>
      </c>
      <c r="H370" s="26">
        <f>54400</f>
        <v>54400</v>
      </c>
      <c r="I370" s="41">
        <f>H370/F370</f>
        <v>1</v>
      </c>
      <c r="J370" s="56" t="s">
        <v>16</v>
      </c>
      <c r="K370" s="57" t="s">
        <v>429</v>
      </c>
    </row>
    <row r="371" spans="1:11" ht="33" customHeight="1">
      <c r="A371" s="70" t="s">
        <v>478</v>
      </c>
      <c r="B371" s="70"/>
      <c r="C371" s="70"/>
      <c r="D371" s="70"/>
      <c r="E371" s="70"/>
      <c r="F371" s="70"/>
      <c r="G371" s="70"/>
      <c r="H371" s="70"/>
      <c r="I371" s="70"/>
      <c r="J371" s="56"/>
      <c r="K371" s="57"/>
    </row>
    <row r="372" spans="1:11" ht="34.5" customHeight="1">
      <c r="A372" s="3">
        <v>151</v>
      </c>
      <c r="B372" s="3">
        <v>925</v>
      </c>
      <c r="C372" s="3">
        <v>92504</v>
      </c>
      <c r="D372" s="3" t="s">
        <v>150</v>
      </c>
      <c r="E372" s="10" t="s">
        <v>389</v>
      </c>
      <c r="F372" s="29">
        <f>1100000-490000</f>
        <v>610000</v>
      </c>
      <c r="G372" s="41" t="s">
        <v>11</v>
      </c>
      <c r="H372" s="26">
        <v>609613.78</v>
      </c>
      <c r="I372" s="41">
        <f>H372/F372</f>
        <v>0.9993668524590165</v>
      </c>
      <c r="J372" s="56" t="s">
        <v>414</v>
      </c>
      <c r="K372" s="57" t="s">
        <v>418</v>
      </c>
    </row>
    <row r="373" spans="1:11" ht="42.75" customHeight="1">
      <c r="A373" s="71" t="s">
        <v>513</v>
      </c>
      <c r="B373" s="70"/>
      <c r="C373" s="70"/>
      <c r="D373" s="70"/>
      <c r="E373" s="70"/>
      <c r="F373" s="70"/>
      <c r="G373" s="70"/>
      <c r="H373" s="70"/>
      <c r="I373" s="70"/>
      <c r="J373" s="56"/>
      <c r="K373" s="57"/>
    </row>
    <row r="374" spans="1:11" ht="42.75" customHeight="1">
      <c r="A374" s="6">
        <v>152</v>
      </c>
      <c r="B374" s="6">
        <v>925</v>
      </c>
      <c r="C374" s="6">
        <v>92504</v>
      </c>
      <c r="D374" s="3" t="s">
        <v>251</v>
      </c>
      <c r="E374" s="30" t="s">
        <v>252</v>
      </c>
      <c r="F374" s="5">
        <v>6884.74</v>
      </c>
      <c r="G374" s="60"/>
      <c r="H374" s="28">
        <v>6884.74</v>
      </c>
      <c r="I374" s="42">
        <f>H374/F374</f>
        <v>1</v>
      </c>
      <c r="J374" s="56" t="s">
        <v>11</v>
      </c>
      <c r="K374" s="57">
        <v>2017</v>
      </c>
    </row>
    <row r="375" spans="1:11" ht="35.25" customHeight="1">
      <c r="A375" s="70" t="s">
        <v>452</v>
      </c>
      <c r="B375" s="70"/>
      <c r="C375" s="70"/>
      <c r="D375" s="70"/>
      <c r="E375" s="70"/>
      <c r="F375" s="70"/>
      <c r="G375" s="70"/>
      <c r="H375" s="70"/>
      <c r="I375" s="70"/>
      <c r="J375" s="56"/>
      <c r="K375" s="57"/>
    </row>
    <row r="376" spans="1:11" ht="35.25" customHeight="1">
      <c r="A376" s="6">
        <v>153</v>
      </c>
      <c r="B376" s="6">
        <v>925</v>
      </c>
      <c r="C376" s="6">
        <v>92504</v>
      </c>
      <c r="D376" s="3" t="s">
        <v>253</v>
      </c>
      <c r="E376" s="30" t="s">
        <v>254</v>
      </c>
      <c r="F376" s="5">
        <v>54115.26</v>
      </c>
      <c r="G376" s="60"/>
      <c r="H376" s="28">
        <v>52788.72</v>
      </c>
      <c r="I376" s="42">
        <f>H376/F376</f>
        <v>0.9754867665793345</v>
      </c>
      <c r="J376" s="56" t="s">
        <v>11</v>
      </c>
      <c r="K376" s="57">
        <v>2017</v>
      </c>
    </row>
    <row r="377" spans="1:11" ht="35.25" customHeight="1">
      <c r="A377" s="70" t="s">
        <v>459</v>
      </c>
      <c r="B377" s="70"/>
      <c r="C377" s="70"/>
      <c r="D377" s="70"/>
      <c r="E377" s="70"/>
      <c r="F377" s="70"/>
      <c r="G377" s="70"/>
      <c r="H377" s="70"/>
      <c r="I377" s="70"/>
      <c r="J377" s="56"/>
      <c r="K377" s="57"/>
    </row>
    <row r="378" spans="1:11" ht="34.5" customHeight="1">
      <c r="A378" s="73" t="s">
        <v>151</v>
      </c>
      <c r="B378" s="73"/>
      <c r="C378" s="73"/>
      <c r="D378" s="73"/>
      <c r="E378" s="73"/>
      <c r="F378" s="14">
        <f>F379+F390</f>
        <v>32347237.71</v>
      </c>
      <c r="G378" s="14" t="e">
        <f>G379+G390</f>
        <v>#VALUE!</v>
      </c>
      <c r="H378" s="14">
        <f>H379+H390</f>
        <v>31458810.14</v>
      </c>
      <c r="I378" s="54">
        <f>H378/F378</f>
        <v>0.9725346696381019</v>
      </c>
      <c r="J378" s="56"/>
      <c r="K378" s="57"/>
    </row>
    <row r="379" spans="1:11" ht="37.5" customHeight="1">
      <c r="A379" s="73" t="s">
        <v>152</v>
      </c>
      <c r="B379" s="73"/>
      <c r="C379" s="73"/>
      <c r="D379" s="73"/>
      <c r="E379" s="73"/>
      <c r="F379" s="14">
        <f>F380+F382+F384+F386+F388</f>
        <v>17061557.45</v>
      </c>
      <c r="G379" s="14" t="e">
        <f>G380+G382+G384+G386+G388</f>
        <v>#VALUE!</v>
      </c>
      <c r="H379" s="14">
        <f>H380+H382+H384+H386+H388</f>
        <v>17013802.57</v>
      </c>
      <c r="I379" s="54">
        <f>H379/F379</f>
        <v>0.9972010245758661</v>
      </c>
      <c r="J379" s="56"/>
      <c r="K379" s="57"/>
    </row>
    <row r="380" spans="1:11" ht="39" customHeight="1">
      <c r="A380" s="3">
        <v>154</v>
      </c>
      <c r="B380" s="3">
        <v>926</v>
      </c>
      <c r="C380" s="3">
        <v>92601</v>
      </c>
      <c r="D380" s="3" t="s">
        <v>153</v>
      </c>
      <c r="E380" s="10" t="s">
        <v>154</v>
      </c>
      <c r="F380" s="29">
        <f>2200000+99500-548113.57-24000</f>
        <v>1727386.4300000002</v>
      </c>
      <c r="G380" s="41" t="s">
        <v>16</v>
      </c>
      <c r="H380" s="26">
        <v>1722174.48</v>
      </c>
      <c r="I380" s="41">
        <f>H380/F380</f>
        <v>0.9969827538821177</v>
      </c>
      <c r="J380" s="56" t="s">
        <v>16</v>
      </c>
      <c r="K380" s="57" t="s">
        <v>515</v>
      </c>
    </row>
    <row r="381" spans="1:11" ht="44.25" customHeight="1">
      <c r="A381" s="70" t="s">
        <v>479</v>
      </c>
      <c r="B381" s="70"/>
      <c r="C381" s="70"/>
      <c r="D381" s="70"/>
      <c r="E381" s="70"/>
      <c r="F381" s="70"/>
      <c r="G381" s="70"/>
      <c r="H381" s="70"/>
      <c r="I381" s="70"/>
      <c r="J381" s="56"/>
      <c r="K381" s="57"/>
    </row>
    <row r="382" spans="1:11" ht="35.25" customHeight="1">
      <c r="A382" s="3">
        <v>155</v>
      </c>
      <c r="B382" s="3">
        <v>926</v>
      </c>
      <c r="C382" s="3">
        <v>92601</v>
      </c>
      <c r="D382" s="3" t="s">
        <v>155</v>
      </c>
      <c r="E382" s="10" t="s">
        <v>156</v>
      </c>
      <c r="F382" s="29">
        <v>450000</v>
      </c>
      <c r="G382" s="41" t="s">
        <v>16</v>
      </c>
      <c r="H382" s="26">
        <v>432536.02</v>
      </c>
      <c r="I382" s="41">
        <f>H382/F382</f>
        <v>0.9611911555555556</v>
      </c>
      <c r="J382" s="56" t="s">
        <v>16</v>
      </c>
      <c r="K382" s="57" t="s">
        <v>412</v>
      </c>
    </row>
    <row r="383" spans="1:11" ht="39" customHeight="1">
      <c r="A383" s="70" t="s">
        <v>477</v>
      </c>
      <c r="B383" s="70"/>
      <c r="C383" s="70"/>
      <c r="D383" s="70"/>
      <c r="E383" s="70"/>
      <c r="F383" s="70"/>
      <c r="G383" s="70"/>
      <c r="H383" s="70"/>
      <c r="I383" s="70"/>
      <c r="J383" s="56"/>
      <c r="K383" s="57"/>
    </row>
    <row r="384" spans="1:11" ht="48.75" customHeight="1">
      <c r="A384" s="6">
        <v>156</v>
      </c>
      <c r="B384" s="6">
        <v>926</v>
      </c>
      <c r="C384" s="6">
        <v>92601</v>
      </c>
      <c r="D384" s="6" t="s">
        <v>157</v>
      </c>
      <c r="E384" s="7" t="s">
        <v>158</v>
      </c>
      <c r="F384" s="5">
        <f>438692+23001+140000+60000+34000-6900-208821.98</f>
        <v>479971.02</v>
      </c>
      <c r="G384" s="42" t="s">
        <v>11</v>
      </c>
      <c r="H384" s="28">
        <v>454910.07</v>
      </c>
      <c r="I384" s="42">
        <f>H384/F384</f>
        <v>0.9477865351120573</v>
      </c>
      <c r="J384" s="56" t="s">
        <v>16</v>
      </c>
      <c r="K384" s="57" t="s">
        <v>418</v>
      </c>
    </row>
    <row r="385" spans="1:11" ht="55.5" customHeight="1">
      <c r="A385" s="72" t="s">
        <v>480</v>
      </c>
      <c r="B385" s="72"/>
      <c r="C385" s="72"/>
      <c r="D385" s="72"/>
      <c r="E385" s="72"/>
      <c r="F385" s="72"/>
      <c r="G385" s="72"/>
      <c r="H385" s="72"/>
      <c r="I385" s="72"/>
      <c r="J385" s="56"/>
      <c r="K385" s="57"/>
    </row>
    <row r="386" spans="1:11" ht="45" customHeight="1">
      <c r="A386" s="6">
        <v>157</v>
      </c>
      <c r="B386" s="6">
        <v>926</v>
      </c>
      <c r="C386" s="6">
        <v>92601</v>
      </c>
      <c r="D386" s="6" t="s">
        <v>159</v>
      </c>
      <c r="E386" s="4" t="s">
        <v>270</v>
      </c>
      <c r="F386" s="5">
        <f>182127.5-177927.5</f>
        <v>4200</v>
      </c>
      <c r="G386" s="42" t="s">
        <v>11</v>
      </c>
      <c r="H386" s="28">
        <v>4182</v>
      </c>
      <c r="I386" s="42">
        <f>H386/F386</f>
        <v>0.9957142857142857</v>
      </c>
      <c r="J386" s="56" t="s">
        <v>16</v>
      </c>
      <c r="K386" s="57" t="s">
        <v>418</v>
      </c>
    </row>
    <row r="387" spans="1:11" ht="39" customHeight="1">
      <c r="A387" s="71" t="s">
        <v>512</v>
      </c>
      <c r="B387" s="71"/>
      <c r="C387" s="71"/>
      <c r="D387" s="71"/>
      <c r="E387" s="71"/>
      <c r="F387" s="71"/>
      <c r="G387" s="71"/>
      <c r="H387" s="71"/>
      <c r="I387" s="71"/>
      <c r="J387" s="56"/>
      <c r="K387" s="57"/>
    </row>
    <row r="388" spans="1:11" ht="42" customHeight="1">
      <c r="A388" s="6">
        <v>158</v>
      </c>
      <c r="B388" s="6">
        <v>926</v>
      </c>
      <c r="C388" s="6">
        <v>92601</v>
      </c>
      <c r="D388" s="6" t="s">
        <v>160</v>
      </c>
      <c r="E388" s="4" t="s">
        <v>161</v>
      </c>
      <c r="F388" s="5">
        <f>8500000+1800000+1850000+2250000</f>
        <v>14400000</v>
      </c>
      <c r="G388" s="17"/>
      <c r="H388" s="28">
        <v>14400000</v>
      </c>
      <c r="I388" s="42">
        <f>H388/F388</f>
        <v>1</v>
      </c>
      <c r="J388" s="56" t="s">
        <v>414</v>
      </c>
      <c r="K388" s="57" t="s">
        <v>411</v>
      </c>
    </row>
    <row r="389" spans="1:11" ht="42" customHeight="1">
      <c r="A389" s="70" t="s">
        <v>448</v>
      </c>
      <c r="B389" s="70"/>
      <c r="C389" s="70"/>
      <c r="D389" s="70"/>
      <c r="E389" s="70"/>
      <c r="F389" s="70"/>
      <c r="G389" s="70"/>
      <c r="H389" s="70"/>
      <c r="I389" s="70"/>
      <c r="J389" s="56"/>
      <c r="K389" s="57"/>
    </row>
    <row r="390" spans="1:11" ht="36.75" customHeight="1">
      <c r="A390" s="73" t="s">
        <v>162</v>
      </c>
      <c r="B390" s="73"/>
      <c r="C390" s="73"/>
      <c r="D390" s="73"/>
      <c r="E390" s="73"/>
      <c r="F390" s="14">
        <f>F391+F393+F395+F397+F399+F401+F403</f>
        <v>15285680.26</v>
      </c>
      <c r="G390" s="14" t="e">
        <f>G391+G393+G395+G397+G399+G401+G403</f>
        <v>#VALUE!</v>
      </c>
      <c r="H390" s="14">
        <f>H391+H393+H395+H397+H399+H401+H403</f>
        <v>14445007.57</v>
      </c>
      <c r="I390" s="47">
        <f>H390/F390</f>
        <v>0.9450025987917662</v>
      </c>
      <c r="J390" s="56"/>
      <c r="K390" s="57"/>
    </row>
    <row r="391" spans="1:11" ht="36.75" customHeight="1">
      <c r="A391" s="3">
        <v>159</v>
      </c>
      <c r="B391" s="3">
        <v>926</v>
      </c>
      <c r="C391" s="3">
        <v>92695</v>
      </c>
      <c r="D391" s="3" t="s">
        <v>163</v>
      </c>
      <c r="E391" s="10" t="s">
        <v>164</v>
      </c>
      <c r="F391" s="29">
        <f>1000000+4750000+900000+1500000</f>
        <v>8150000</v>
      </c>
      <c r="G391" s="41" t="s">
        <v>16</v>
      </c>
      <c r="H391" s="26">
        <v>8150000</v>
      </c>
      <c r="I391" s="41">
        <f>H391/F391</f>
        <v>1</v>
      </c>
      <c r="J391" s="56" t="s">
        <v>514</v>
      </c>
      <c r="K391" s="57" t="s">
        <v>426</v>
      </c>
    </row>
    <row r="392" spans="1:11" ht="36" customHeight="1">
      <c r="A392" s="70" t="s">
        <v>443</v>
      </c>
      <c r="B392" s="70"/>
      <c r="C392" s="70"/>
      <c r="D392" s="70"/>
      <c r="E392" s="70"/>
      <c r="F392" s="70"/>
      <c r="G392" s="70"/>
      <c r="H392" s="70"/>
      <c r="I392" s="70"/>
      <c r="J392" s="56"/>
      <c r="K392" s="57"/>
    </row>
    <row r="393" spans="1:11" ht="42.75" customHeight="1">
      <c r="A393" s="3">
        <v>160</v>
      </c>
      <c r="B393" s="3">
        <v>926</v>
      </c>
      <c r="C393" s="3">
        <v>92695</v>
      </c>
      <c r="D393" s="3" t="s">
        <v>165</v>
      </c>
      <c r="E393" s="10" t="s">
        <v>166</v>
      </c>
      <c r="F393" s="29">
        <f>2500000+350000+1000000+500000+1000000</f>
        <v>5350000</v>
      </c>
      <c r="G393" s="41" t="s">
        <v>16</v>
      </c>
      <c r="H393" s="26">
        <v>5350000</v>
      </c>
      <c r="I393" s="41">
        <f>H393/F393</f>
        <v>1</v>
      </c>
      <c r="J393" s="56" t="s">
        <v>514</v>
      </c>
      <c r="K393" s="57" t="s">
        <v>426</v>
      </c>
    </row>
    <row r="394" spans="1:11" ht="33.75" customHeight="1">
      <c r="A394" s="70" t="s">
        <v>444</v>
      </c>
      <c r="B394" s="70"/>
      <c r="C394" s="70"/>
      <c r="D394" s="70"/>
      <c r="E394" s="70"/>
      <c r="F394" s="70"/>
      <c r="G394" s="70"/>
      <c r="H394" s="70"/>
      <c r="I394" s="70"/>
      <c r="J394" s="56"/>
      <c r="K394" s="57"/>
    </row>
    <row r="395" spans="1:11" ht="39" customHeight="1">
      <c r="A395" s="6">
        <v>161</v>
      </c>
      <c r="B395" s="6">
        <v>926</v>
      </c>
      <c r="C395" s="6">
        <v>92695</v>
      </c>
      <c r="D395" s="6" t="s">
        <v>167</v>
      </c>
      <c r="E395" s="30" t="s">
        <v>168</v>
      </c>
      <c r="F395" s="5">
        <f>121642-6642</f>
        <v>115000</v>
      </c>
      <c r="G395" s="42" t="s">
        <v>11</v>
      </c>
      <c r="H395" s="28">
        <v>115000</v>
      </c>
      <c r="I395" s="42">
        <f>H395/F395</f>
        <v>1</v>
      </c>
      <c r="J395" s="56" t="s">
        <v>16</v>
      </c>
      <c r="K395" s="57" t="s">
        <v>410</v>
      </c>
    </row>
    <row r="396" spans="1:11" ht="35.25" customHeight="1">
      <c r="A396" s="70" t="s">
        <v>449</v>
      </c>
      <c r="B396" s="70"/>
      <c r="C396" s="70"/>
      <c r="D396" s="70"/>
      <c r="E396" s="70"/>
      <c r="F396" s="70"/>
      <c r="G396" s="70"/>
      <c r="H396" s="70"/>
      <c r="I396" s="70"/>
      <c r="J396" s="56"/>
      <c r="K396" s="57"/>
    </row>
    <row r="397" spans="1:11" ht="36" customHeight="1">
      <c r="A397" s="6">
        <v>162</v>
      </c>
      <c r="B397" s="6">
        <v>926</v>
      </c>
      <c r="C397" s="6">
        <v>92695</v>
      </c>
      <c r="D397" s="6" t="s">
        <v>169</v>
      </c>
      <c r="E397" s="30" t="s">
        <v>170</v>
      </c>
      <c r="F397" s="5">
        <f>116759+50000-55299</f>
        <v>111460</v>
      </c>
      <c r="G397" s="42" t="s">
        <v>11</v>
      </c>
      <c r="H397" s="28">
        <v>111103.94</v>
      </c>
      <c r="I397" s="42">
        <f>H397/F397</f>
        <v>0.9968054907590167</v>
      </c>
      <c r="J397" s="56" t="s">
        <v>16</v>
      </c>
      <c r="K397" s="57" t="s">
        <v>410</v>
      </c>
    </row>
    <row r="398" spans="1:11" ht="38.25" customHeight="1">
      <c r="A398" s="70" t="s">
        <v>573</v>
      </c>
      <c r="B398" s="70"/>
      <c r="C398" s="70"/>
      <c r="D398" s="70"/>
      <c r="E398" s="70"/>
      <c r="F398" s="70"/>
      <c r="G398" s="70"/>
      <c r="H398" s="70"/>
      <c r="I398" s="70"/>
      <c r="J398" s="55"/>
      <c r="K398" s="55"/>
    </row>
    <row r="399" spans="1:11" ht="38.25" customHeight="1">
      <c r="A399" s="3">
        <v>163</v>
      </c>
      <c r="B399" s="3">
        <v>926</v>
      </c>
      <c r="C399" s="3">
        <v>92695</v>
      </c>
      <c r="D399" s="3" t="s">
        <v>171</v>
      </c>
      <c r="E399" s="10" t="s">
        <v>172</v>
      </c>
      <c r="F399" s="29">
        <f>732000+767151.91+1000000+80000-742240.02-428028.63+175071-128000</f>
        <v>1455954.2600000002</v>
      </c>
      <c r="G399" s="41" t="s">
        <v>16</v>
      </c>
      <c r="H399" s="26">
        <v>658773.14</v>
      </c>
      <c r="I399" s="41">
        <f>H399/F399</f>
        <v>0.4524682938871994</v>
      </c>
      <c r="J399" s="56" t="s">
        <v>414</v>
      </c>
      <c r="K399" s="57" t="s">
        <v>420</v>
      </c>
    </row>
    <row r="400" spans="1:11" ht="195.75" customHeight="1">
      <c r="A400" s="71" t="s">
        <v>611</v>
      </c>
      <c r="B400" s="70"/>
      <c r="C400" s="70"/>
      <c r="D400" s="70"/>
      <c r="E400" s="70"/>
      <c r="F400" s="70"/>
      <c r="G400" s="70"/>
      <c r="H400" s="70"/>
      <c r="I400" s="70"/>
      <c r="J400" s="59"/>
      <c r="K400" s="55"/>
    </row>
    <row r="401" spans="1:11" ht="36" customHeight="1">
      <c r="A401" s="6">
        <v>164</v>
      </c>
      <c r="B401" s="6">
        <v>926</v>
      </c>
      <c r="C401" s="6">
        <v>92695</v>
      </c>
      <c r="D401" s="6" t="s">
        <v>173</v>
      </c>
      <c r="E401" s="4" t="s">
        <v>174</v>
      </c>
      <c r="F401" s="5">
        <f>200000-99299-42435</f>
        <v>58266</v>
      </c>
      <c r="G401" s="66"/>
      <c r="H401" s="26">
        <v>42295.49</v>
      </c>
      <c r="I401" s="41">
        <f>H401/F401</f>
        <v>0.7259034428311536</v>
      </c>
      <c r="J401" s="56" t="s">
        <v>16</v>
      </c>
      <c r="K401" s="67" t="s">
        <v>416</v>
      </c>
    </row>
    <row r="402" spans="1:11" ht="52.5" customHeight="1">
      <c r="A402" s="70" t="s">
        <v>576</v>
      </c>
      <c r="B402" s="70"/>
      <c r="C402" s="70"/>
      <c r="D402" s="70"/>
      <c r="E402" s="70"/>
      <c r="F402" s="70"/>
      <c r="G402" s="70"/>
      <c r="H402" s="70"/>
      <c r="I402" s="70"/>
      <c r="J402" s="59"/>
      <c r="K402" s="55"/>
    </row>
    <row r="403" spans="1:11" ht="36" customHeight="1">
      <c r="A403" s="6">
        <v>165</v>
      </c>
      <c r="B403" s="6">
        <v>926</v>
      </c>
      <c r="C403" s="6">
        <v>92695</v>
      </c>
      <c r="D403" s="6" t="s">
        <v>175</v>
      </c>
      <c r="E403" s="4" t="s">
        <v>176</v>
      </c>
      <c r="F403" s="5">
        <v>45000</v>
      </c>
      <c r="G403" s="66"/>
      <c r="H403" s="26">
        <v>17835</v>
      </c>
      <c r="I403" s="41">
        <f>H403/F403</f>
        <v>0.3963333333333333</v>
      </c>
      <c r="J403" s="56" t="s">
        <v>16</v>
      </c>
      <c r="K403" s="67" t="s">
        <v>416</v>
      </c>
    </row>
    <row r="404" spans="1:11" ht="57" customHeight="1">
      <c r="A404" s="70" t="s">
        <v>606</v>
      </c>
      <c r="B404" s="70"/>
      <c r="C404" s="70"/>
      <c r="D404" s="70"/>
      <c r="E404" s="70"/>
      <c r="F404" s="70"/>
      <c r="G404" s="70"/>
      <c r="H404" s="70"/>
      <c r="I404" s="70"/>
      <c r="J404" s="59"/>
      <c r="K404" s="55"/>
    </row>
    <row r="405" spans="1:11" ht="31.5" customHeight="1">
      <c r="A405" s="85" t="s">
        <v>177</v>
      </c>
      <c r="B405" s="85"/>
      <c r="C405" s="85"/>
      <c r="D405" s="85"/>
      <c r="E405" s="85"/>
      <c r="F405" s="40">
        <f>F5+F11+F101+F127+F136+F142+F162+F191+F266+F281+F285+F312+F351+F368+F378+F302+F274</f>
        <v>182087266.92999998</v>
      </c>
      <c r="G405" s="40" t="e">
        <f>G5+G11+G101+G127+G136+G142+G162+G191+G266+G281+G285+G312+G351+G368+G378+G302+G274</f>
        <v>#VALUE!</v>
      </c>
      <c r="H405" s="40">
        <f>H5+H11+H101+H127+H136+H142+H162+H191+H266+H281+H285+H312+H351+H368+H378+H302+H274</f>
        <v>174749561.34000003</v>
      </c>
      <c r="I405" s="44">
        <f>H405/F405</f>
        <v>0.9597022586273384</v>
      </c>
      <c r="J405" s="55"/>
      <c r="K405" s="55"/>
    </row>
    <row r="406" spans="1:11" ht="33" customHeight="1">
      <c r="A406" s="85" t="s">
        <v>178</v>
      </c>
      <c r="B406" s="85"/>
      <c r="C406" s="85"/>
      <c r="D406" s="85"/>
      <c r="E406" s="85"/>
      <c r="F406" s="40">
        <f>F405-F407</f>
        <v>115123769.65999997</v>
      </c>
      <c r="G406" s="40" t="e">
        <f>G405-G407</f>
        <v>#VALUE!</v>
      </c>
      <c r="H406" s="40">
        <f>H405-H407</f>
        <v>110235263.95000002</v>
      </c>
      <c r="I406" s="44">
        <f>H406/F406</f>
        <v>0.9575369558828956</v>
      </c>
      <c r="J406" s="55"/>
      <c r="K406" s="55"/>
    </row>
    <row r="407" spans="1:11" ht="29.25" customHeight="1">
      <c r="A407" s="85" t="s">
        <v>179</v>
      </c>
      <c r="B407" s="85"/>
      <c r="C407" s="85"/>
      <c r="D407" s="85"/>
      <c r="E407" s="85"/>
      <c r="F407" s="40">
        <f>F22+F24+F26+F28+F30+F32+F34+F36+F38+F40+F42+F44+F167+F169+F176+F251+F283+F297+F300+F359+F364+F361+F19+F310+F171+F16+F353+F178+F180+F258+F294+F289+F287+F164+F224+F262+F307+F173+F276+F291+F366</f>
        <v>66963497.27000001</v>
      </c>
      <c r="G407" s="40" t="e">
        <f>G22+G24+G26+G28+G30+G32+G34+G36+G38+G40+G42+G44+G167+G169+G176+G251+G283+G297+G300+G359+G364+G361+G19+G310+G171+G16+G353+G178+G180+G258+G294+G289+G287+G164+G224+G262+G307+G173+G276+G291+G366</f>
        <v>#VALUE!</v>
      </c>
      <c r="H407" s="40">
        <f>H22+H24+H26+H28+H30+H32+H34+H36+H38+H40+H42+H44+H167+H169+H176+H251+H283+H297+H300+H359+H364+H361+H19+H310+H171+H16+H353+H178+H180+H258+H294+H289+H287+H164+H224+H262+H307+H173+H276+H291+H366</f>
        <v>64514297.39000001</v>
      </c>
      <c r="I407" s="44">
        <f>H407/F407</f>
        <v>0.9634248511524911</v>
      </c>
      <c r="J407" s="55"/>
      <c r="K407" s="55"/>
    </row>
    <row r="408" spans="1:9" ht="27.75" customHeight="1">
      <c r="A408" s="77" t="s">
        <v>607</v>
      </c>
      <c r="B408" s="77"/>
      <c r="C408" s="77"/>
      <c r="D408" s="77"/>
      <c r="E408" s="77"/>
      <c r="F408" s="77"/>
      <c r="G408" s="77"/>
      <c r="H408" s="77"/>
      <c r="I408" s="77"/>
    </row>
  </sheetData>
  <sheetProtection selectLockedCells="1" selectUnlockedCells="1"/>
  <mergeCells count="239">
    <mergeCell ref="A62:I62"/>
    <mergeCell ref="A86:I86"/>
    <mergeCell ref="A145:I145"/>
    <mergeCell ref="A295:I295"/>
    <mergeCell ref="A72:I72"/>
    <mergeCell ref="A74:I74"/>
    <mergeCell ref="A76:I76"/>
    <mergeCell ref="A78:I78"/>
    <mergeCell ref="A82:I82"/>
    <mergeCell ref="A64:I64"/>
    <mergeCell ref="A66:I66"/>
    <mergeCell ref="A68:I68"/>
    <mergeCell ref="A70:I70"/>
    <mergeCell ref="A136:E136"/>
    <mergeCell ref="A88:I88"/>
    <mergeCell ref="A90:I90"/>
    <mergeCell ref="A84:I84"/>
    <mergeCell ref="A92:I92"/>
    <mergeCell ref="A110:I110"/>
    <mergeCell ref="A128:E128"/>
    <mergeCell ref="A46:E46"/>
    <mergeCell ref="A10:I10"/>
    <mergeCell ref="A14:I14"/>
    <mergeCell ref="A17:I17"/>
    <mergeCell ref="A20:I20"/>
    <mergeCell ref="A23:I23"/>
    <mergeCell ref="A21:E21"/>
    <mergeCell ref="A18:E18"/>
    <mergeCell ref="A27:I27"/>
    <mergeCell ref="A29:I29"/>
    <mergeCell ref="A407:E407"/>
    <mergeCell ref="A402:I402"/>
    <mergeCell ref="A404:I404"/>
    <mergeCell ref="A378:E378"/>
    <mergeCell ref="A379:E379"/>
    <mergeCell ref="A373:I373"/>
    <mergeCell ref="A405:E405"/>
    <mergeCell ref="A406:E406"/>
    <mergeCell ref="A392:I392"/>
    <mergeCell ref="A394:I394"/>
    <mergeCell ref="A202:I202"/>
    <mergeCell ref="A204:I204"/>
    <mergeCell ref="A230:I230"/>
    <mergeCell ref="A259:I259"/>
    <mergeCell ref="A261:I261"/>
    <mergeCell ref="A263:I263"/>
    <mergeCell ref="A238:I238"/>
    <mergeCell ref="A247:I247"/>
    <mergeCell ref="A232:I232"/>
    <mergeCell ref="A234:I234"/>
    <mergeCell ref="A318:E318"/>
    <mergeCell ref="A249:I249"/>
    <mergeCell ref="A245:I245"/>
    <mergeCell ref="A305:I305"/>
    <mergeCell ref="A309:E309"/>
    <mergeCell ref="A265:I265"/>
    <mergeCell ref="A277:I277"/>
    <mergeCell ref="A325:I325"/>
    <mergeCell ref="A308:I308"/>
    <mergeCell ref="A311:I311"/>
    <mergeCell ref="A317:I317"/>
    <mergeCell ref="A320:I320"/>
    <mergeCell ref="A302:E302"/>
    <mergeCell ref="A315:I315"/>
    <mergeCell ref="A312:E312"/>
    <mergeCell ref="A313:E313"/>
    <mergeCell ref="A306:E306"/>
    <mergeCell ref="A303:E303"/>
    <mergeCell ref="A97:I97"/>
    <mergeCell ref="A100:I100"/>
    <mergeCell ref="A269:I269"/>
    <mergeCell ref="A271:I271"/>
    <mergeCell ref="A218:I218"/>
    <mergeCell ref="A102:E102"/>
    <mergeCell ref="A131:E131"/>
    <mergeCell ref="A255:I255"/>
    <mergeCell ref="A257:I257"/>
    <mergeCell ref="A323:E323"/>
    <mergeCell ref="A322:I322"/>
    <mergeCell ref="A101:E101"/>
    <mergeCell ref="A98:E98"/>
    <mergeCell ref="A142:E142"/>
    <mergeCell ref="A137:E137"/>
    <mergeCell ref="A104:I104"/>
    <mergeCell ref="A141:I141"/>
    <mergeCell ref="A175:E175"/>
    <mergeCell ref="A154:E154"/>
    <mergeCell ref="A151:I151"/>
    <mergeCell ref="A94:I94"/>
    <mergeCell ref="A116:E116"/>
    <mergeCell ref="A159:I159"/>
    <mergeCell ref="A130:I130"/>
    <mergeCell ref="A133:I133"/>
    <mergeCell ref="A135:I135"/>
    <mergeCell ref="A139:I139"/>
    <mergeCell ref="A115:I115"/>
    <mergeCell ref="A122:I122"/>
    <mergeCell ref="A127:E127"/>
    <mergeCell ref="A120:I120"/>
    <mergeCell ref="A118:I118"/>
    <mergeCell ref="A5:E5"/>
    <mergeCell ref="A11:E11"/>
    <mergeCell ref="A12:E12"/>
    <mergeCell ref="A15:E15"/>
    <mergeCell ref="A35:I35"/>
    <mergeCell ref="A95:E95"/>
    <mergeCell ref="A111:E111"/>
    <mergeCell ref="A31:I31"/>
    <mergeCell ref="A33:I33"/>
    <mergeCell ref="A8:I8"/>
    <mergeCell ref="A25:I25"/>
    <mergeCell ref="A58:I58"/>
    <mergeCell ref="A60:I60"/>
    <mergeCell ref="A43:I43"/>
    <mergeCell ref="A37:I37"/>
    <mergeCell ref="A39:I39"/>
    <mergeCell ref="A41:I41"/>
    <mergeCell ref="A206:I206"/>
    <mergeCell ref="A208:I208"/>
    <mergeCell ref="A45:I45"/>
    <mergeCell ref="A50:I50"/>
    <mergeCell ref="A52:I52"/>
    <mergeCell ref="A48:I48"/>
    <mergeCell ref="A54:I54"/>
    <mergeCell ref="A56:I56"/>
    <mergeCell ref="A124:I124"/>
    <mergeCell ref="A126:I126"/>
    <mergeCell ref="A156:I156"/>
    <mergeCell ref="A153:I153"/>
    <mergeCell ref="A174:I174"/>
    <mergeCell ref="A266:E266"/>
    <mergeCell ref="A190:I190"/>
    <mergeCell ref="A194:I194"/>
    <mergeCell ref="A196:I196"/>
    <mergeCell ref="A222:I222"/>
    <mergeCell ref="A220:I220"/>
    <mergeCell ref="A182:E182"/>
    <mergeCell ref="A198:I198"/>
    <mergeCell ref="A191:E191"/>
    <mergeCell ref="A192:E192"/>
    <mergeCell ref="A165:I165"/>
    <mergeCell ref="A161:I161"/>
    <mergeCell ref="A177:I177"/>
    <mergeCell ref="A408:I408"/>
    <mergeCell ref="A179:I179"/>
    <mergeCell ref="A181:I181"/>
    <mergeCell ref="A184:I184"/>
    <mergeCell ref="A187:I187"/>
    <mergeCell ref="A273:I273"/>
    <mergeCell ref="A226:E226"/>
    <mergeCell ref="A188:E188"/>
    <mergeCell ref="A236:I236"/>
    <mergeCell ref="A200:I200"/>
    <mergeCell ref="A80:I80"/>
    <mergeCell ref="A106:I106"/>
    <mergeCell ref="A108:I108"/>
    <mergeCell ref="A274:E274"/>
    <mergeCell ref="A253:E253"/>
    <mergeCell ref="A212:I212"/>
    <mergeCell ref="A214:I214"/>
    <mergeCell ref="A216:I216"/>
    <mergeCell ref="A113:I113"/>
    <mergeCell ref="A185:E185"/>
    <mergeCell ref="A170:I170"/>
    <mergeCell ref="A172:I172"/>
    <mergeCell ref="A162:E162"/>
    <mergeCell ref="A157:E157"/>
    <mergeCell ref="A143:E143"/>
    <mergeCell ref="A163:E163"/>
    <mergeCell ref="A168:I168"/>
    <mergeCell ref="A166:E166"/>
    <mergeCell ref="A147:I147"/>
    <mergeCell ref="A149:I149"/>
    <mergeCell ref="A210:I210"/>
    <mergeCell ref="A252:I252"/>
    <mergeCell ref="A250:E250"/>
    <mergeCell ref="A243:E243"/>
    <mergeCell ref="A223:E223"/>
    <mergeCell ref="A228:I228"/>
    <mergeCell ref="A240:I240"/>
    <mergeCell ref="A242:I242"/>
    <mergeCell ref="A225:I225"/>
    <mergeCell ref="A280:I280"/>
    <mergeCell ref="A275:E275"/>
    <mergeCell ref="A284:I284"/>
    <mergeCell ref="A288:I288"/>
    <mergeCell ref="A267:E267"/>
    <mergeCell ref="A278:E278"/>
    <mergeCell ref="A281:E281"/>
    <mergeCell ref="A290:I290"/>
    <mergeCell ref="A282:E282"/>
    <mergeCell ref="A292:I292"/>
    <mergeCell ref="A298:I298"/>
    <mergeCell ref="A301:I301"/>
    <mergeCell ref="A286:E286"/>
    <mergeCell ref="A285:E285"/>
    <mergeCell ref="A293:E293"/>
    <mergeCell ref="A296:E296"/>
    <mergeCell ref="A299:E299"/>
    <mergeCell ref="A328:I328"/>
    <mergeCell ref="A331:I331"/>
    <mergeCell ref="A329:E329"/>
    <mergeCell ref="A334:I334"/>
    <mergeCell ref="A336:I336"/>
    <mergeCell ref="A326:E326"/>
    <mergeCell ref="A332:E332"/>
    <mergeCell ref="A338:I338"/>
    <mergeCell ref="A340:I340"/>
    <mergeCell ref="A342:I342"/>
    <mergeCell ref="A344:I344"/>
    <mergeCell ref="A346:I346"/>
    <mergeCell ref="A348:I348"/>
    <mergeCell ref="A350:I350"/>
    <mergeCell ref="A354:I354"/>
    <mergeCell ref="A357:I357"/>
    <mergeCell ref="A360:I360"/>
    <mergeCell ref="A362:I362"/>
    <mergeCell ref="A365:I365"/>
    <mergeCell ref="A351:E351"/>
    <mergeCell ref="A355:E355"/>
    <mergeCell ref="A358:E358"/>
    <mergeCell ref="A352:E352"/>
    <mergeCell ref="A389:I389"/>
    <mergeCell ref="A367:I367"/>
    <mergeCell ref="A371:I371"/>
    <mergeCell ref="A369:E369"/>
    <mergeCell ref="A375:I375"/>
    <mergeCell ref="A363:E363"/>
    <mergeCell ref="A368:E368"/>
    <mergeCell ref="A2:I2"/>
    <mergeCell ref="A396:I396"/>
    <mergeCell ref="A398:I398"/>
    <mergeCell ref="A400:I400"/>
    <mergeCell ref="A377:I377"/>
    <mergeCell ref="A381:I381"/>
    <mergeCell ref="A383:I383"/>
    <mergeCell ref="A385:I385"/>
    <mergeCell ref="A387:I387"/>
    <mergeCell ref="A390:E390"/>
  </mergeCells>
  <printOptions horizontalCentered="1"/>
  <pageMargins left="0.7086614173228347" right="0.7086614173228347" top="0.984251968503937" bottom="0.6692913385826772" header="0.5118110236220472" footer="0.5118110236220472"/>
  <pageSetup firstPageNumber="158" useFirstPageNumber="1" fitToHeight="47" fitToWidth="1" horizontalDpi="600" verticalDpi="600" orientation="landscape" paperSize="9" scale="89" r:id="rId1"/>
  <headerFooter alignWithMargins="0">
    <oddHeader>&amp;L&amp;"Arial CE,Kursywa"&amp;UCZĘŚĆ OPISOWA DOTYCZĄCA WYDATKÓW MAJĄTKOWYCH&amp;U_______________________________________________________________________________________________</oddHeader>
    <oddFooter>&amp;L&amp;P</oddFooter>
  </headerFooter>
  <rowBreaks count="17" manualBreakCount="17">
    <brk id="15" max="8" man="1"/>
    <brk id="26" max="8" man="1"/>
    <brk id="38" max="8" man="1"/>
    <brk id="50" max="8" man="1"/>
    <brk id="63" max="8" man="1"/>
    <brk id="89" max="8" man="1"/>
    <brk id="113" max="8" man="1"/>
    <brk id="140" max="8" man="1"/>
    <brk id="166" max="8" man="1"/>
    <brk id="191" max="8" man="1"/>
    <brk id="204" max="8" man="1"/>
    <brk id="272" max="8" man="1"/>
    <brk id="285" max="8" man="1"/>
    <brk id="299" max="8" man="1"/>
    <brk id="311" max="8" man="1"/>
    <brk id="321" max="8" man="1"/>
    <brk id="33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20" zoomScaleSheetLayoutView="12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Rutkowska-Cukras</dc:creator>
  <cp:keywords/>
  <dc:description/>
  <cp:lastModifiedBy>Joanna Rutkowska-Cukras</cp:lastModifiedBy>
  <cp:lastPrinted>2018-03-28T11:43:56Z</cp:lastPrinted>
  <dcterms:created xsi:type="dcterms:W3CDTF">2016-12-21T08:41:15Z</dcterms:created>
  <dcterms:modified xsi:type="dcterms:W3CDTF">2018-04-05T09:33:34Z</dcterms:modified>
  <cp:category/>
  <cp:version/>
  <cp:contentType/>
  <cp:contentStatus/>
</cp:coreProperties>
</file>