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'Arkusz1'!$A$1:$K$114</definedName>
    <definedName name="_xlnm.Print_Area" localSheetId="0">'Arkusz1'!$A$1:$M$121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<sst xmlns="http://schemas.openxmlformats.org/spreadsheetml/2006/main" count="150" uniqueCount="129">
  <si>
    <t xml:space="preserve">Załącznik Nr 9
</t>
  </si>
  <si>
    <t>WYKONANIE DOTACJI UDZIELONYCH W 2017 ROKU Z BUDŻETU DLA JEDNOSTEK SEKTORA FINANSÓW PUBLICZNYCH I DLA JEDNOSTEK SPOZA SEKTORA FINANSÓW PUBLICZNYCH</t>
  </si>
  <si>
    <t>Lp.</t>
  </si>
  <si>
    <t>Dział</t>
  </si>
  <si>
    <t>Rozdział</t>
  </si>
  <si>
    <t>Nazwa jednostki / zadania</t>
  </si>
  <si>
    <t xml:space="preserve">Kwota dotacji </t>
  </si>
  <si>
    <t>Podmiotowej – plan na 31.12.2017</t>
  </si>
  <si>
    <t>Podmiotowej – wykonanie na 31.12.2017</t>
  </si>
  <si>
    <t>% wykonania (6:5)</t>
  </si>
  <si>
    <t>Celowej – plan na 31.12.2017</t>
  </si>
  <si>
    <t>Celowej – wykonanie na 31.12.2017</t>
  </si>
  <si>
    <t>% wykonania (9:8)</t>
  </si>
  <si>
    <t>pozostałe dotacje – plan na 31.12.2017</t>
  </si>
  <si>
    <t>pozostałe dotacje – wykonanie na 31.12.2017</t>
  </si>
  <si>
    <t>% wykonania (12:11)</t>
  </si>
  <si>
    <t>A.</t>
  </si>
  <si>
    <t>Jednostki sektora finansów publicznych</t>
  </si>
  <si>
    <t>010</t>
  </si>
  <si>
    <t>01030</t>
  </si>
  <si>
    <t>Wpłata na rzecz Mazowieckiej Izby Rolniczej</t>
  </si>
  <si>
    <t>600</t>
  </si>
  <si>
    <t>60016</t>
  </si>
  <si>
    <t>Rozliczenie zadania pn. ”Przebudowa ulicy Obrońców Płocka 1920 r. drogi gminnej w Płocku wraz z budową kanalizacji deszczowej i przebudową oświetlenia ulicznego”</t>
  </si>
  <si>
    <t>Udzielenie pomocy finansowej gminie Bodzanów i Słubice</t>
  </si>
  <si>
    <t>700</t>
  </si>
  <si>
    <t>70005</t>
  </si>
  <si>
    <t xml:space="preserve">Wpłata do Związku Gmin Regionu Płockiego </t>
  </si>
  <si>
    <t>Udzielenie pomocy finansowej gminie Staroźreby</t>
  </si>
  <si>
    <t>720</t>
  </si>
  <si>
    <t>72095</t>
  </si>
  <si>
    <t>Rozliczenie projektu pn. ”Płocka Platforma teleinformatyczna e-Urząd”</t>
  </si>
  <si>
    <t>750</t>
  </si>
  <si>
    <t>75011</t>
  </si>
  <si>
    <t>Zwrot dotacji pobranych nienależnie lub w nadmiernej wysokości</t>
  </si>
  <si>
    <t>75095</t>
  </si>
  <si>
    <t>Realizacja projektu pn. „Sprawność – kompetencja – satysfakcja – wysoka jakość obsługi klienta z pięciu JST z regionu płockiego i gostynińskiego” - środki dla partnera projektu</t>
  </si>
  <si>
    <t>Dofinansowanie działalności Policji, w tym w szczególności rekompensata za czas służby przekraczający normę - Fundusz Wsparcia Policji</t>
  </si>
  <si>
    <t>Zakup psa służbowego dla Komendy Miejskiej Policji w Płocku - Fundusz Wsparcia Policji</t>
  </si>
  <si>
    <t>Likwidacja zagrożeń ekologicznych - Fundusz Wsparcia Państwowej Straży Pożarnej</t>
  </si>
  <si>
    <t>Budowa Jednostki Ratowniczo - Gaśniczej Nr 2 Państwowej Straży Pożarnej w Płocku przy ul. Popłacińskiej 8 -  Fundusz Wsparcia Państwowej Straży Pożarnej</t>
  </si>
  <si>
    <t>Zakup samochodów ratowniczo-gaśniczych dla Komendy Miejskiej Państwowej Straży Pożarnej w Płocku - Fundusz Wsparcia Państwowej Straży Pożarnej</t>
  </si>
  <si>
    <t>Zakup urządzeń do dekontaminacji skażonych ubrań strażackich dla Komendy Miejskiej Państwowej Straży Pożarnej w Płocku - Fundusz Wsparcia Państwowej Straży Pożarnej</t>
  </si>
  <si>
    <t>Budowa wspinalni w Jednostce Ratowniczo – Gaśniczej Nr 3 Komendy Miejskiej Państwowej Straży Pożarnej w Płocku – Fundusz Wsparcia Państwowej Straży Pożarnej</t>
  </si>
  <si>
    <t>758</t>
  </si>
  <si>
    <t>Wpłaty jednostek samorządu terytorialnego do budżetu państwa - gmina</t>
  </si>
  <si>
    <t>Wpłaty jednostek samorządu terytorialnego do budżetu państwa - powiat</t>
  </si>
  <si>
    <t>Udzielenie pomocy finansowej gminie Mieleszyn</t>
  </si>
  <si>
    <t xml:space="preserve">Dokształcanie i doskonalenie zawodowe nauczycieli </t>
  </si>
  <si>
    <t>Nauka zawodu dla uczniów szkół ponadgimnazjalnych klas wielozawodowych</t>
  </si>
  <si>
    <t>Wspieranie płockich szkół wyższych w zakresie rozwoju i modernizacji bazy naukowo – dydaktycznej</t>
  </si>
  <si>
    <t>Udzielenie pomocy finansowej gminie Bulkowo</t>
  </si>
  <si>
    <t>Rehabilitacja zawodowa i społeczna osób niepełnosprawnych</t>
  </si>
  <si>
    <t>Warsztat Terapii Zajęciowej przy Zakładzie Karnym w Płocku</t>
  </si>
  <si>
    <t>Pokrywanie kosztów utrzymania dzieci z Płocka w rodzinach zastępczych na terenie innych powiatów</t>
  </si>
  <si>
    <t>Pokrywanie kosztów utrzymania dzieci z Płocka w placówkach opiekuńczo – wychowawczych na terenie innych powiatów</t>
  </si>
  <si>
    <t>Gospodarka odpadami na terenie miasta</t>
  </si>
  <si>
    <t>Zakład Usług Miejskich „Muniserwis” - zakup wielofunkcyjnej kosiarki zbierającej, kosiarki zbierającej, 2 pługów do odśnieżania, 2 posypywarko – solarek, przyczepy jednoosiowej oraz zagęszczarki</t>
  </si>
  <si>
    <t>Płocka Orkiestra Symfoniczna im. W. Lutosławskiego</t>
  </si>
  <si>
    <t xml:space="preserve">Zakup kotłów </t>
  </si>
  <si>
    <t>Chór Pueri et Puellae Cantores Plocenses</t>
  </si>
  <si>
    <t>Płocki Ośrodek Kultury i Sztuki</t>
  </si>
  <si>
    <t>Płocka Galeria Sztuki</t>
  </si>
  <si>
    <t>Zakup serwera oraz przenośnego komputera wraz z oprogramowaniem – Płocka Galeria Sztuki</t>
  </si>
  <si>
    <t>Książnica Płocka im. Wł. Broniewskiego</t>
  </si>
  <si>
    <t xml:space="preserve"> w tym
 Porozumienia:      80.000,00</t>
  </si>
  <si>
    <t>Zakup laptopa oraz zakup systemu zawieszania obrazów z oświetleniem MULTIRAIL - Książnica Płocka im. Wł. Broniewskiego</t>
  </si>
  <si>
    <t>Realizacja projektów w zakresie Miejskiego Programu Przeciwdziałania Narkomanii</t>
  </si>
  <si>
    <t>Realizacja projektów w zakresie Miejskiego Programu Profilaktyki i Rozwiązywania Problemów Alkoholowych</t>
  </si>
  <si>
    <t>Współfinansowanie działalności Muzeum Żydów Mazowieckich - Oddział Muzeum Mazowieckiego w Płocku</t>
  </si>
  <si>
    <t>B.</t>
  </si>
  <si>
    <t>Jednostki spoza sektora finansów publicznych</t>
  </si>
  <si>
    <t>Organizowanie imprez turystycznych mających na celu informowanie o walorach turystycznych i krajoznawczych miasta Płocka</t>
  </si>
  <si>
    <t>Realizacja zadań z zakresu rewitalizacji</t>
  </si>
  <si>
    <t>Realizacja zadań w zakresie polityki senioralnej</t>
  </si>
  <si>
    <r>
      <rPr>
        <sz val="11"/>
        <rFont val="Times New Roman"/>
        <family val="1"/>
      </rPr>
      <t xml:space="preserve">Realizacja </t>
    </r>
    <r>
      <rPr>
        <sz val="11"/>
        <color indexed="8"/>
        <rFont val="Times New Roman"/>
        <family val="1"/>
      </rPr>
      <t>przez organizacje pozarządowe</t>
    </r>
    <r>
      <rPr>
        <sz val="11"/>
        <rFont val="Times New Roman"/>
        <family val="1"/>
      </rPr>
      <t xml:space="preserve"> zadań dotyczących zapewnienia bezpieczeństwa nad wodami z zakresu udzielania </t>
    </r>
    <r>
      <rPr>
        <sz val="11"/>
        <color indexed="8"/>
        <rFont val="Times New Roman"/>
        <family val="1"/>
      </rPr>
      <t>pomocy przedmedycznej oraz szkoleń dla ratowników</t>
    </r>
  </si>
  <si>
    <t xml:space="preserve">Udzielanie nieodpłatnej pomocy prawnej dla osób fizycznych oraz edukacja prawna </t>
  </si>
  <si>
    <t>Szkoły podstawowe</t>
  </si>
  <si>
    <t>Szkoły podstawowe specjalne</t>
  </si>
  <si>
    <t>Oddziały przedszkolne w szkołach podstawowych</t>
  </si>
  <si>
    <t>Przedszkola</t>
  </si>
  <si>
    <t>Inne formy wychowania przedszkolnego</t>
  </si>
  <si>
    <t>Gimnazja</t>
  </si>
  <si>
    <t>Licea ogólnokształcące</t>
  </si>
  <si>
    <t>Szkoły zawodowe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</si>
  <si>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</si>
  <si>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</si>
  <si>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</si>
  <si>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Realizacja zadań w zakresie rozwoju edukacji i wspierania uzdolnionej młodzieży przez stowarzyszenia</t>
  </si>
  <si>
    <t xml:space="preserve">Realizacja programu polityki zdrowotnej pn. „Program profilaktyczno-zdrowotny z zakresu stomatologii dla dzieci i młodzieży uczęszczających do płockich szkół podstawowych i gimnazjów w latach 2015-2017” zgodnie z ustawą z dnia 15 kwietnia 2011r. o działalności leczniczej </t>
  </si>
  <si>
    <t>Profilaktyka uzależnień, udzielanie pomocy osobom uzależnionym od narkotyków oraz ich rodzinom</t>
  </si>
  <si>
    <t>Profilaktyka uzależnień, udzielanie pomocy osobom uzależnionym od alkoholu, ofiarom przemocy oraz ich rodzinom</t>
  </si>
  <si>
    <t>Propagowanie idei honorowego krwiodawstwa oraz upowszechnianie w społeczeństwie wiedzy na temat udzielania pierwszej pomocy przedmedycznej, edukacja zdrowotna i promocja zdrowia</t>
  </si>
  <si>
    <t>Organizowanie i świadczenie usług opiekuńczych</t>
  </si>
  <si>
    <t>Realizacja zadań z zakresu działalności Centrum Integracji Społecznej dotyczącej reintegracji zawodowej i społecznej</t>
  </si>
  <si>
    <t>Realizacja zadań w zakresie pomocy społecznej oraz wspierania rodziny przez organizacje pozarządowe</t>
  </si>
  <si>
    <t>Warsztat Terapii Zajęciowej przy Stowarzyszeniu Pomocy Osobom z Niepełnosprawnością Umysłową „Jestem”</t>
  </si>
  <si>
    <t>Warsztat Terapii Zajęciowej przy Caritas Diecezji Płockiej</t>
  </si>
  <si>
    <t>Warsztat Terapii Zajęciowej przy Oddziale Miejsko – Powiatowym Towarzystwa Przyjaciół Dzieci w Płocku (ul. Mościckiego 6)</t>
  </si>
  <si>
    <t>Warsztat Terapii Zajęciowej dla Osób Niewidomych przy Oddziale Miejsko – Powiatowym Towarzystwa Przyjaciół Dzieci w Płocku (ul. Królowej Jadwigi 9b)</t>
  </si>
  <si>
    <t>Warsztat Terapii Zajęciowej przy Parafii Rzymsko – Katolickiej św. Jakuba Apostoła w Płocku</t>
  </si>
  <si>
    <t>Warsztat Terapii Zajęciowej w Mirosławiu</t>
  </si>
  <si>
    <t>Warsztat Terapii Zajęciowej w Nowym Grabiu</t>
  </si>
  <si>
    <t>Warsztat Terapii Zajęciowej w Męczeninie</t>
  </si>
  <si>
    <t>Realizacja zadań w zakresie pomocy rodzinom i osobom znajdującym się w trudnej sytuacji życiowej oraz wyrównywania szans rodzin i osób w ramach pomocy społecznej</t>
  </si>
  <si>
    <t>Wczesne wspomaganie rozwoju dziecka</t>
  </si>
  <si>
    <t>Internaty</t>
  </si>
  <si>
    <t>Organizacja wypoczynku letniego dla dzieci i młodzieży szkół podstawowych, gimnazjalnych i ponadgimnazjalnych zamieszkałych na terenie miasta Płocka</t>
  </si>
  <si>
    <t>Realizacja zadań dotyczących edukacji ekologicznej dzieci oraz dorosłych w zakresie segregacji odpadów przez organizacje pozarządowe</t>
  </si>
  <si>
    <t>Realizacja zadań z zakresu ochrony powietrza polegających na likwidacji niskiej emisji</t>
  </si>
  <si>
    <t>Realizacja zadań z zakresu edukacji ekologicznej</t>
  </si>
  <si>
    <t>Realizacja zadań z zakresu opieki nad zwierzętami bezdomnymi</t>
  </si>
  <si>
    <t>Realizacja zadań z zakresu kultury i sztuki przez stowarzyszenia oraz kluby</t>
  </si>
  <si>
    <t>Prace konserwatorskie, restauratorskie lub roboty przy zabytku nieruchomym wpisanym do rejestru zabytków, znajdującym się na terenie miasta Płocka</t>
  </si>
  <si>
    <t>Realizacja zadań z zakresu kultury i sztuki przez organizacje pozarządowe</t>
  </si>
  <si>
    <t>Realizacja zadań z zakresu kultury fizycznej przez stowarzyszenia oraz kluby</t>
  </si>
  <si>
    <t>zmiana</t>
  </si>
  <si>
    <t>przed zmianą</t>
  </si>
  <si>
    <t>C.</t>
  </si>
  <si>
    <t>Razem (A  + B), w tym:</t>
  </si>
  <si>
    <t>miejskie samorządowe instytucje kultury, w tym:</t>
  </si>
  <si>
    <t xml:space="preserve">porozumienia  </t>
  </si>
  <si>
    <t xml:space="preserve">publiczne i niepubliczne przedszkola, szkoły i placówki oświatowo – wychowawcze </t>
  </si>
  <si>
    <t xml:space="preserve">pozostałe jednostki zaliczane i niezaliczane do sektora finansów publicznych </t>
  </si>
  <si>
    <t>Wykonanie dotacji udzielonych w 2017 roku dla jednostek sektora finansów publicznych i dla jednostek spoza sektora finansów publicznych kształtowało się następująco:</t>
  </si>
  <si>
    <t>1) dotacje podmiotowe – 58.889.797,32 zł, co stanowiło 99,19 % planu,</t>
  </si>
  <si>
    <t>2) dotacje celowe – 13.569.060,02 zł, co stanowiło 97,39 % planu,</t>
  </si>
  <si>
    <t>3) pozostałe dotacje – 25.037.459,74 zł, co stanowiło 98,39 % planu.</t>
  </si>
  <si>
    <r>
      <rPr>
        <sz val="15"/>
        <color indexed="8"/>
        <rFont val="Times New Roman"/>
        <family val="1"/>
      </rPr>
      <t xml:space="preserve">Niepełne wykonanie planu dotacji dotyczyło następujących pozycji:
rozdział 70005 - Wpłata do Związku Gmin Regionu Płockiego na koszty związane z monitorowaniem efektu ekologicznego dotyczącego realizacji projektu pn. Termomodernizacja budynku użyteczności publicznej na terenie gmin Związku Gmin Regionu Płockiego oraz zarządzanie energią w budynkach użyteczności publicznej w Samodzielnym Zespole Publicznych Zakładów Opieki Zdrowotnej im. Dzieci Warszawy w Dziekanowie Leśnym - w związku z niższymi kosztami realizacji zadania poniesionymi przez Związek,
rozdział 80195 - Nauka zawodu dla uczniów szkół ponadgimnazjalnych klas wielozawodowych – w związku ze zgłoszeniem się mniejszej niż planowano liczby uczniów do udziału w zajęciach z teoretycznych przedmiotów zawodowych,
rozdziały  85214, 85216, 85230, 85295, 85501, 85502,85508 - Zwrot dotacji pobranych nienależnie lub w nadmiernej wysokości - </t>
    </r>
    <r>
      <rPr>
        <sz val="15"/>
        <rFont val="Times New Roman"/>
        <family val="1"/>
      </rPr>
      <t xml:space="preserve">w związku z brakiem konieczności dokonywania zwrotu nienależnie pobranych świadczeń w zakresie pomocy społecznej i świadczeń rodzinnych tj. m.in. z tytułu zasiłków okresowych, celowych i pomocy w naturze oraz składek na ubezpieczenia emerytalne i rentowe; zasiłków stałych; pomocy w zakresie dożywiania; świadczeń wychowawczych; świadczeń rodzinnych, świadczeń z funduszu alimentacyjnego oraz składek na ubezpieczenia emerytalne i rentowe z ubezpieczenia społecznego; od rodzin zastępczych,
</t>
    </r>
    <r>
      <rPr>
        <sz val="15"/>
        <color indexed="8"/>
        <rFont val="Times New Roman"/>
        <family val="1"/>
      </rPr>
      <t xml:space="preserve">rozdział 90002 - Realizacja zadań dotyczących edukacji ekologicznej dzieci oraz dorosłych w zakresie segregacji odpadów przez organizacje pozarządowe - w związku z udzieleniem mniejszego niż pierwotnie zakładano grantu na realizację działań z zakresu edukacji ekologicznej dotyczącej prawidłowej segregacji odpadów.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</si>
</sst>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@\ "/>
    <numFmt numFmtId="165" formatCode="#,##0.00\ ;\-#,##0.00\ "/>
    <numFmt numFmtId="166" formatCode="#,##0.00;\-#,##0.00"/>
    <numFmt numFmtId="167" formatCode="#,###.00"/>
  </numFmts>
  <fonts count="47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10" fontId="7" fillId="35" borderId="10" xfId="0" applyNumberFormat="1" applyFont="1" applyFill="1" applyBorder="1" applyAlignment="1">
      <alignment vertical="center"/>
    </xf>
    <xf numFmtId="10" fontId="4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0" fontId="8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10" fontId="9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vertical="center"/>
    </xf>
    <xf numFmtId="10" fontId="7" fillId="35" borderId="12" xfId="0" applyNumberFormat="1" applyFont="1" applyFill="1" applyBorder="1" applyAlignment="1">
      <alignment vertical="center"/>
    </xf>
    <xf numFmtId="10" fontId="4" fillId="35" borderId="12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vertical="center"/>
    </xf>
    <xf numFmtId="10" fontId="8" fillId="35" borderId="12" xfId="0" applyNumberFormat="1" applyFont="1" applyFill="1" applyBorder="1" applyAlignment="1">
      <alignment vertical="center"/>
    </xf>
    <xf numFmtId="10" fontId="2" fillId="35" borderId="12" xfId="0" applyNumberFormat="1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vertical="center"/>
    </xf>
    <xf numFmtId="4" fontId="8" fillId="36" borderId="12" xfId="0" applyNumberFormat="1" applyFont="1" applyFill="1" applyBorder="1" applyAlignment="1">
      <alignment vertical="center"/>
    </xf>
    <xf numFmtId="0" fontId="9" fillId="35" borderId="12" xfId="0" applyFont="1" applyFill="1" applyBorder="1" applyAlignment="1">
      <alignment wrapText="1"/>
    </xf>
    <xf numFmtId="4" fontId="9" fillId="35" borderId="12" xfId="0" applyNumberFormat="1" applyFont="1" applyFill="1" applyBorder="1" applyAlignment="1">
      <alignment/>
    </xf>
    <xf numFmtId="10" fontId="9" fillId="35" borderId="12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167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36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view="pageBreakPreview" zoomScaleNormal="106" zoomScaleSheetLayoutView="100" zoomScalePageLayoutView="0" workbookViewId="0" topLeftCell="D1">
      <pane ySplit="7" topLeftCell="A111" activePane="bottomLeft" state="frozen"/>
      <selection pane="topLeft" activeCell="A1" sqref="A1"/>
      <selection pane="bottomLeft" activeCell="E141" sqref="E141"/>
    </sheetView>
  </sheetViews>
  <sheetFormatPr defaultColWidth="9.00390625" defaultRowHeight="12.75" customHeight="1"/>
  <cols>
    <col min="1" max="1" width="5.25390625" style="1" customWidth="1"/>
    <col min="2" max="3" width="9.125" style="1" customWidth="1"/>
    <col min="4" max="4" width="92.375" style="2" customWidth="1"/>
    <col min="5" max="5" width="16.00390625" style="1" customWidth="1"/>
    <col min="6" max="6" width="15.375" style="1" customWidth="1"/>
    <col min="7" max="7" width="14.375" style="1" customWidth="1"/>
    <col min="8" max="9" width="16.00390625" style="1" customWidth="1"/>
    <col min="10" max="10" width="15.125" style="1" customWidth="1"/>
    <col min="11" max="12" width="16.00390625" style="1" customWidth="1"/>
    <col min="13" max="13" width="13.75390625" style="1" customWidth="1"/>
    <col min="14" max="14" width="22.125" style="1" customWidth="1"/>
    <col min="15" max="15" width="15.125" style="1" customWidth="1"/>
    <col min="16" max="16" width="14.375" style="1" customWidth="1"/>
    <col min="17" max="16384" width="9.125" style="1" customWidth="1"/>
  </cols>
  <sheetData>
    <row r="1" spans="5:13" ht="93" customHeight="1">
      <c r="E1" s="86" t="s">
        <v>0</v>
      </c>
      <c r="F1" s="86"/>
      <c r="G1" s="86"/>
      <c r="H1" s="86"/>
      <c r="I1" s="86"/>
      <c r="J1" s="86"/>
      <c r="K1" s="86"/>
      <c r="L1" s="86"/>
      <c r="M1" s="86"/>
    </row>
    <row r="2" spans="4:13" ht="12.75" customHeight="1">
      <c r="D2" s="3"/>
      <c r="E2" s="87"/>
      <c r="F2" s="87"/>
      <c r="G2" s="87"/>
      <c r="H2" s="87"/>
      <c r="I2" s="87"/>
      <c r="J2" s="87"/>
      <c r="K2" s="87"/>
      <c r="L2" s="4"/>
      <c r="M2" s="4"/>
    </row>
    <row r="3" spans="1:13" ht="33.7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8:13" ht="12.75" customHeight="1">
      <c r="H4" s="89"/>
      <c r="I4" s="89"/>
      <c r="J4" s="89"/>
      <c r="K4" s="89"/>
      <c r="L4" s="5"/>
      <c r="M4" s="5"/>
    </row>
    <row r="5" spans="1:13" s="6" customFormat="1" ht="39.75" customHeight="1">
      <c r="A5" s="90" t="s">
        <v>2</v>
      </c>
      <c r="B5" s="90" t="s">
        <v>3</v>
      </c>
      <c r="C5" s="90" t="s">
        <v>4</v>
      </c>
      <c r="D5" s="91" t="s">
        <v>5</v>
      </c>
      <c r="E5" s="90" t="s">
        <v>6</v>
      </c>
      <c r="F5" s="90"/>
      <c r="G5" s="90"/>
      <c r="H5" s="90"/>
      <c r="I5" s="90"/>
      <c r="J5" s="90"/>
      <c r="K5" s="90"/>
      <c r="L5" s="90"/>
      <c r="M5" s="90"/>
    </row>
    <row r="6" spans="1:13" s="6" customFormat="1" ht="46.5" customHeight="1">
      <c r="A6" s="90"/>
      <c r="B6" s="90"/>
      <c r="C6" s="90"/>
      <c r="D6" s="91"/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13" customFormat="1" ht="33" customHeight="1">
      <c r="A8" s="9" t="s">
        <v>16</v>
      </c>
      <c r="B8" s="92" t="s">
        <v>17</v>
      </c>
      <c r="C8" s="92"/>
      <c r="D8" s="92"/>
      <c r="E8" s="10">
        <f>E36+E45+E47+E48+E51+E49</f>
        <v>23471290.89</v>
      </c>
      <c r="F8" s="10">
        <f>F36+F45+F47+F48+F51+F49</f>
        <v>23471290.89</v>
      </c>
      <c r="G8" s="11">
        <f>F8/E8</f>
        <v>1</v>
      </c>
      <c r="H8" s="10">
        <f>H11+H13+H16+H26+H27+H28+H29+H34+H41+H42+H44+H45+H49+H51+H56</f>
        <v>2230617.33</v>
      </c>
      <c r="I8" s="10">
        <f>I11+I13+I16+I26+I27+I28+I29+I34+I41+I42+I44+I45+I49+I51+I56</f>
        <v>2052926.89</v>
      </c>
      <c r="J8" s="12">
        <f>I8/H8</f>
        <v>0.9203402405198743</v>
      </c>
      <c r="K8" s="10">
        <f>K9+K12+K17+K24+K25+K30+K32+K38+K43+K20+K19+K39+K31+K21+K33+K35+K40+K15+K22+K10+K18+K14+K23</f>
        <v>25446819.7</v>
      </c>
      <c r="L8" s="10">
        <f>L9+L12+L17+L24+L25+L30+L32+L38+L43+L20+L19+L39+L31+L21+L33+L35+L40+L15+L22+L10+L18+L14+L23</f>
        <v>25037459.739999995</v>
      </c>
      <c r="M8" s="12">
        <f>L8/K8</f>
        <v>0.9839131190134536</v>
      </c>
    </row>
    <row r="9" spans="1:13" s="20" customFormat="1" ht="39.75" customHeight="1">
      <c r="A9" s="14">
        <v>1</v>
      </c>
      <c r="B9" s="15" t="s">
        <v>18</v>
      </c>
      <c r="C9" s="15" t="s">
        <v>19</v>
      </c>
      <c r="D9" s="16" t="s">
        <v>20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5320</v>
      </c>
      <c r="L9" s="18">
        <v>4900.68</v>
      </c>
      <c r="M9" s="19">
        <f>L9/K9</f>
        <v>0.9211804511278197</v>
      </c>
    </row>
    <row r="10" spans="1:13" s="20" customFormat="1" ht="38.25" customHeight="1">
      <c r="A10" s="14">
        <v>2</v>
      </c>
      <c r="B10" s="15" t="s">
        <v>21</v>
      </c>
      <c r="C10" s="15" t="s">
        <v>22</v>
      </c>
      <c r="D10" s="21" t="s">
        <v>23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5490</v>
      </c>
      <c r="L10" s="18">
        <v>5485.31</v>
      </c>
      <c r="M10" s="19">
        <f>L10/K10</f>
        <v>0.9991457194899819</v>
      </c>
    </row>
    <row r="11" spans="1:13" s="20" customFormat="1" ht="38.25" customHeight="1">
      <c r="A11" s="14">
        <v>3</v>
      </c>
      <c r="B11" s="15" t="s">
        <v>21</v>
      </c>
      <c r="C11" s="15" t="s">
        <v>22</v>
      </c>
      <c r="D11" s="22" t="s">
        <v>24</v>
      </c>
      <c r="E11" s="23">
        <v>0</v>
      </c>
      <c r="F11" s="23">
        <v>0</v>
      </c>
      <c r="G11" s="23">
        <v>0</v>
      </c>
      <c r="H11" s="24">
        <v>50000</v>
      </c>
      <c r="I11" s="24">
        <v>50000</v>
      </c>
      <c r="J11" s="25">
        <f>I11/H11</f>
        <v>1</v>
      </c>
      <c r="K11" s="17">
        <v>0</v>
      </c>
      <c r="L11" s="17">
        <v>0</v>
      </c>
      <c r="M11" s="17">
        <v>0</v>
      </c>
    </row>
    <row r="12" spans="1:13" s="20" customFormat="1" ht="36.75" customHeight="1">
      <c r="A12" s="14">
        <v>4</v>
      </c>
      <c r="B12" s="15" t="s">
        <v>25</v>
      </c>
      <c r="C12" s="15" t="s">
        <v>26</v>
      </c>
      <c r="D12" s="16" t="s">
        <v>27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3000</v>
      </c>
      <c r="L12" s="18">
        <v>1747.22</v>
      </c>
      <c r="M12" s="19">
        <f>L12/K12</f>
        <v>0.5824066666666666</v>
      </c>
    </row>
    <row r="13" spans="1:13" s="20" customFormat="1" ht="36.75" customHeight="1">
      <c r="A13" s="26">
        <v>5</v>
      </c>
      <c r="B13" s="27">
        <v>700</v>
      </c>
      <c r="C13" s="27">
        <v>70005</v>
      </c>
      <c r="D13" s="22" t="s">
        <v>28</v>
      </c>
      <c r="E13" s="23">
        <v>0</v>
      </c>
      <c r="F13" s="23">
        <v>0</v>
      </c>
      <c r="G13" s="23">
        <v>0</v>
      </c>
      <c r="H13" s="24">
        <v>25000</v>
      </c>
      <c r="I13" s="24">
        <v>25000</v>
      </c>
      <c r="J13" s="25">
        <f>I13/H13</f>
        <v>1</v>
      </c>
      <c r="K13" s="17">
        <v>0</v>
      </c>
      <c r="L13" s="17">
        <v>0</v>
      </c>
      <c r="M13" s="17">
        <v>0</v>
      </c>
    </row>
    <row r="14" spans="1:13" s="20" customFormat="1" ht="36.75" customHeight="1">
      <c r="A14" s="14">
        <v>6</v>
      </c>
      <c r="B14" s="15" t="s">
        <v>29</v>
      </c>
      <c r="C14" s="15" t="s">
        <v>30</v>
      </c>
      <c r="D14" s="16" t="s">
        <v>31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f>1348601.3-494206.6</f>
        <v>854394.7000000001</v>
      </c>
      <c r="L14" s="18">
        <v>854394.7</v>
      </c>
      <c r="M14" s="19">
        <f>L14/K14</f>
        <v>0.9999999999999999</v>
      </c>
    </row>
    <row r="15" spans="1:13" s="20" customFormat="1" ht="36.75" customHeight="1">
      <c r="A15" s="14">
        <v>7</v>
      </c>
      <c r="B15" s="15" t="s">
        <v>32</v>
      </c>
      <c r="C15" s="15" t="s">
        <v>33</v>
      </c>
      <c r="D15" s="28" t="s">
        <v>34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29">
        <v>26026</v>
      </c>
      <c r="L15" s="29">
        <v>26026</v>
      </c>
      <c r="M15" s="19">
        <f>L15/K15</f>
        <v>1</v>
      </c>
    </row>
    <row r="16" spans="1:13" s="20" customFormat="1" ht="39.75" customHeight="1">
      <c r="A16" s="26">
        <v>8</v>
      </c>
      <c r="B16" s="30" t="s">
        <v>32</v>
      </c>
      <c r="C16" s="30" t="s">
        <v>35</v>
      </c>
      <c r="D16" s="28" t="s">
        <v>36</v>
      </c>
      <c r="E16" s="23">
        <v>0</v>
      </c>
      <c r="F16" s="23">
        <v>0</v>
      </c>
      <c r="G16" s="23">
        <v>0</v>
      </c>
      <c r="H16" s="24">
        <f>86938-19841</f>
        <v>67097</v>
      </c>
      <c r="I16" s="24">
        <v>67097</v>
      </c>
      <c r="J16" s="25">
        <f>I16/H16</f>
        <v>1</v>
      </c>
      <c r="K16" s="17">
        <v>0</v>
      </c>
      <c r="L16" s="17">
        <v>0</v>
      </c>
      <c r="M16" s="17">
        <v>0</v>
      </c>
    </row>
    <row r="17" spans="1:13" s="20" customFormat="1" ht="40.5" customHeight="1">
      <c r="A17" s="26">
        <v>9</v>
      </c>
      <c r="B17" s="27">
        <v>754</v>
      </c>
      <c r="C17" s="27">
        <v>75404</v>
      </c>
      <c r="D17" s="28" t="s">
        <v>37</v>
      </c>
      <c r="E17" s="23">
        <v>0</v>
      </c>
      <c r="F17" s="23">
        <v>0</v>
      </c>
      <c r="G17" s="23">
        <v>0</v>
      </c>
      <c r="H17" s="17">
        <v>0</v>
      </c>
      <c r="I17" s="17">
        <v>0</v>
      </c>
      <c r="J17" s="17">
        <v>0</v>
      </c>
      <c r="K17" s="24">
        <v>396750</v>
      </c>
      <c r="L17" s="24">
        <v>396750</v>
      </c>
      <c r="M17" s="19">
        <f aca="true" t="shared" si="0" ref="M17:M25">L17/K17</f>
        <v>1</v>
      </c>
    </row>
    <row r="18" spans="1:13" s="20" customFormat="1" ht="32.25" customHeight="1">
      <c r="A18" s="26">
        <v>10</v>
      </c>
      <c r="B18" s="27">
        <v>754</v>
      </c>
      <c r="C18" s="27">
        <v>75404</v>
      </c>
      <c r="D18" s="21" t="s">
        <v>38</v>
      </c>
      <c r="E18" s="23">
        <v>0</v>
      </c>
      <c r="F18" s="23">
        <v>0</v>
      </c>
      <c r="G18" s="23">
        <v>0</v>
      </c>
      <c r="H18" s="17">
        <v>0</v>
      </c>
      <c r="I18" s="17">
        <v>0</v>
      </c>
      <c r="J18" s="17">
        <v>0</v>
      </c>
      <c r="K18" s="24">
        <v>6500</v>
      </c>
      <c r="L18" s="24">
        <v>6500</v>
      </c>
      <c r="M18" s="19">
        <f t="shared" si="0"/>
        <v>1</v>
      </c>
    </row>
    <row r="19" spans="1:13" s="31" customFormat="1" ht="32.25" customHeight="1">
      <c r="A19" s="26">
        <v>11</v>
      </c>
      <c r="B19" s="27">
        <v>754</v>
      </c>
      <c r="C19" s="27">
        <v>75410</v>
      </c>
      <c r="D19" s="28" t="s">
        <v>39</v>
      </c>
      <c r="E19" s="23">
        <v>0</v>
      </c>
      <c r="F19" s="23">
        <v>0</v>
      </c>
      <c r="G19" s="23">
        <v>0</v>
      </c>
      <c r="H19" s="17">
        <v>0</v>
      </c>
      <c r="I19" s="17">
        <v>0</v>
      </c>
      <c r="J19" s="17">
        <v>0</v>
      </c>
      <c r="K19" s="24">
        <f>90000-60000</f>
        <v>30000</v>
      </c>
      <c r="L19" s="24">
        <v>29151</v>
      </c>
      <c r="M19" s="19">
        <f t="shared" si="0"/>
        <v>0.9717</v>
      </c>
    </row>
    <row r="20" spans="1:13" s="20" customFormat="1" ht="37.5" customHeight="1">
      <c r="A20" s="26">
        <v>12</v>
      </c>
      <c r="B20" s="27">
        <v>754</v>
      </c>
      <c r="C20" s="27">
        <v>75410</v>
      </c>
      <c r="D20" s="28" t="s">
        <v>40</v>
      </c>
      <c r="E20" s="23">
        <v>0</v>
      </c>
      <c r="F20" s="23">
        <v>0</v>
      </c>
      <c r="G20" s="23">
        <v>0</v>
      </c>
      <c r="H20" s="17">
        <v>0</v>
      </c>
      <c r="I20" s="17">
        <v>0</v>
      </c>
      <c r="J20" s="17">
        <v>0</v>
      </c>
      <c r="K20" s="32">
        <f>1000000-250000+150000+100000</f>
        <v>1000000</v>
      </c>
      <c r="L20" s="32">
        <v>700000</v>
      </c>
      <c r="M20" s="19">
        <f t="shared" si="0"/>
        <v>0.7</v>
      </c>
    </row>
    <row r="21" spans="1:13" s="20" customFormat="1" ht="37.5" customHeight="1">
      <c r="A21" s="26">
        <v>13</v>
      </c>
      <c r="B21" s="27">
        <v>754</v>
      </c>
      <c r="C21" s="27">
        <v>75410</v>
      </c>
      <c r="D21" s="28" t="s">
        <v>41</v>
      </c>
      <c r="E21" s="23">
        <v>0</v>
      </c>
      <c r="F21" s="23">
        <v>0</v>
      </c>
      <c r="G21" s="23">
        <v>0</v>
      </c>
      <c r="H21" s="17">
        <v>0</v>
      </c>
      <c r="I21" s="17">
        <v>0</v>
      </c>
      <c r="J21" s="17">
        <v>0</v>
      </c>
      <c r="K21" s="24">
        <v>300000</v>
      </c>
      <c r="L21" s="24">
        <v>300000</v>
      </c>
      <c r="M21" s="19">
        <f t="shared" si="0"/>
        <v>1</v>
      </c>
    </row>
    <row r="22" spans="1:13" s="20" customFormat="1" ht="37.5" customHeight="1">
      <c r="A22" s="26">
        <v>14</v>
      </c>
      <c r="B22" s="27">
        <v>754</v>
      </c>
      <c r="C22" s="27">
        <v>75410</v>
      </c>
      <c r="D22" s="21" t="s">
        <v>42</v>
      </c>
      <c r="E22" s="23">
        <v>0</v>
      </c>
      <c r="F22" s="23">
        <v>0</v>
      </c>
      <c r="G22" s="23">
        <v>0</v>
      </c>
      <c r="H22" s="17">
        <v>0</v>
      </c>
      <c r="I22" s="17">
        <v>0</v>
      </c>
      <c r="J22" s="17">
        <v>0</v>
      </c>
      <c r="K22" s="24">
        <v>60000</v>
      </c>
      <c r="L22" s="24">
        <v>57465.6</v>
      </c>
      <c r="M22" s="19">
        <f t="shared" si="0"/>
        <v>0.95776</v>
      </c>
    </row>
    <row r="23" spans="1:13" s="20" customFormat="1" ht="37.5" customHeight="1">
      <c r="A23" s="26">
        <v>15</v>
      </c>
      <c r="B23" s="27">
        <v>754</v>
      </c>
      <c r="C23" s="27">
        <v>75410</v>
      </c>
      <c r="D23" s="21" t="s">
        <v>43</v>
      </c>
      <c r="E23" s="23">
        <v>0</v>
      </c>
      <c r="F23" s="23">
        <v>0</v>
      </c>
      <c r="G23" s="23">
        <v>0</v>
      </c>
      <c r="H23" s="17">
        <v>0</v>
      </c>
      <c r="I23" s="17">
        <v>0</v>
      </c>
      <c r="J23" s="17">
        <v>0</v>
      </c>
      <c r="K23" s="24">
        <v>20000</v>
      </c>
      <c r="L23" s="24">
        <v>19926</v>
      </c>
      <c r="M23" s="19">
        <f t="shared" si="0"/>
        <v>0.9963</v>
      </c>
    </row>
    <row r="24" spans="1:13" s="20" customFormat="1" ht="36" customHeight="1">
      <c r="A24" s="26">
        <v>16</v>
      </c>
      <c r="B24" s="30" t="s">
        <v>44</v>
      </c>
      <c r="C24" s="27">
        <v>75831</v>
      </c>
      <c r="D24" s="28" t="s">
        <v>45</v>
      </c>
      <c r="E24" s="33">
        <v>0</v>
      </c>
      <c r="F24" s="33">
        <v>0</v>
      </c>
      <c r="G24" s="33">
        <v>0</v>
      </c>
      <c r="H24" s="17">
        <v>0</v>
      </c>
      <c r="I24" s="17">
        <v>0</v>
      </c>
      <c r="J24" s="17">
        <v>0</v>
      </c>
      <c r="K24" s="24">
        <v>15069811</v>
      </c>
      <c r="L24" s="24">
        <v>15069811</v>
      </c>
      <c r="M24" s="19">
        <f t="shared" si="0"/>
        <v>1</v>
      </c>
    </row>
    <row r="25" spans="1:13" s="20" customFormat="1" ht="36" customHeight="1">
      <c r="A25" s="26">
        <v>17</v>
      </c>
      <c r="B25" s="30" t="s">
        <v>44</v>
      </c>
      <c r="C25" s="27">
        <v>75832</v>
      </c>
      <c r="D25" s="28" t="s">
        <v>46</v>
      </c>
      <c r="E25" s="33">
        <v>0</v>
      </c>
      <c r="F25" s="33">
        <v>0</v>
      </c>
      <c r="G25" s="33">
        <v>0</v>
      </c>
      <c r="H25" s="17">
        <v>0</v>
      </c>
      <c r="I25" s="17">
        <v>0</v>
      </c>
      <c r="J25" s="17">
        <v>0</v>
      </c>
      <c r="K25" s="24">
        <v>7248028</v>
      </c>
      <c r="L25" s="24">
        <v>7248028</v>
      </c>
      <c r="M25" s="19">
        <f t="shared" si="0"/>
        <v>1</v>
      </c>
    </row>
    <row r="26" spans="1:13" s="20" customFormat="1" ht="36" customHeight="1">
      <c r="A26" s="26">
        <v>18</v>
      </c>
      <c r="B26" s="27">
        <v>801</v>
      </c>
      <c r="C26" s="27">
        <v>80104</v>
      </c>
      <c r="D26" s="22" t="s">
        <v>47</v>
      </c>
      <c r="E26" s="23">
        <v>0</v>
      </c>
      <c r="F26" s="23">
        <v>0</v>
      </c>
      <c r="G26" s="23">
        <v>0</v>
      </c>
      <c r="H26" s="24">
        <f>+40000+60000</f>
        <v>100000</v>
      </c>
      <c r="I26" s="24">
        <v>100000</v>
      </c>
      <c r="J26" s="25">
        <f>I26/H26</f>
        <v>1</v>
      </c>
      <c r="K26" s="17">
        <v>0</v>
      </c>
      <c r="L26" s="17">
        <v>0</v>
      </c>
      <c r="M26" s="17">
        <v>0</v>
      </c>
    </row>
    <row r="27" spans="1:13" ht="36" customHeight="1">
      <c r="A27" s="26">
        <v>19</v>
      </c>
      <c r="B27" s="27">
        <v>801</v>
      </c>
      <c r="C27" s="27">
        <v>80146</v>
      </c>
      <c r="D27" s="28" t="s">
        <v>48</v>
      </c>
      <c r="E27" s="23">
        <v>0</v>
      </c>
      <c r="F27" s="23">
        <v>0</v>
      </c>
      <c r="G27" s="23">
        <v>0</v>
      </c>
      <c r="H27" s="24">
        <v>218000</v>
      </c>
      <c r="I27" s="24">
        <v>218000</v>
      </c>
      <c r="J27" s="25">
        <f>I27/H27</f>
        <v>1</v>
      </c>
      <c r="K27" s="17">
        <v>0</v>
      </c>
      <c r="L27" s="17">
        <v>0</v>
      </c>
      <c r="M27" s="17">
        <v>0</v>
      </c>
    </row>
    <row r="28" spans="1:13" ht="36" customHeight="1">
      <c r="A28" s="26">
        <v>20</v>
      </c>
      <c r="B28" s="27">
        <v>801</v>
      </c>
      <c r="C28" s="27">
        <v>80195</v>
      </c>
      <c r="D28" s="28" t="s">
        <v>49</v>
      </c>
      <c r="E28" s="23">
        <v>0</v>
      </c>
      <c r="F28" s="23">
        <v>0</v>
      </c>
      <c r="G28" s="23">
        <v>0</v>
      </c>
      <c r="H28" s="32">
        <v>1700</v>
      </c>
      <c r="I28" s="32">
        <v>830</v>
      </c>
      <c r="J28" s="25">
        <f>I28/H28</f>
        <v>0.48823529411764705</v>
      </c>
      <c r="K28" s="17">
        <v>0</v>
      </c>
      <c r="L28" s="17">
        <v>0</v>
      </c>
      <c r="M28" s="17">
        <v>0</v>
      </c>
    </row>
    <row r="29" spans="1:13" s="20" customFormat="1" ht="36" customHeight="1">
      <c r="A29" s="26">
        <v>21</v>
      </c>
      <c r="B29" s="27">
        <v>803</v>
      </c>
      <c r="C29" s="27">
        <v>80306</v>
      </c>
      <c r="D29" s="28" t="s">
        <v>50</v>
      </c>
      <c r="E29" s="23">
        <v>0</v>
      </c>
      <c r="F29" s="23">
        <v>0</v>
      </c>
      <c r="G29" s="23">
        <v>0</v>
      </c>
      <c r="H29" s="24">
        <f>300000+200000+106000-5245.5</f>
        <v>600754.5</v>
      </c>
      <c r="I29" s="24">
        <v>491000</v>
      </c>
      <c r="J29" s="25">
        <f>I29/H29</f>
        <v>0.8173055715770752</v>
      </c>
      <c r="K29" s="17">
        <v>0</v>
      </c>
      <c r="L29" s="17">
        <v>0</v>
      </c>
      <c r="M29" s="17">
        <v>0</v>
      </c>
    </row>
    <row r="30" spans="1:13" ht="36" customHeight="1">
      <c r="A30" s="26">
        <v>22</v>
      </c>
      <c r="B30" s="27">
        <v>852</v>
      </c>
      <c r="C30" s="27">
        <v>85213</v>
      </c>
      <c r="D30" s="28" t="s">
        <v>34</v>
      </c>
      <c r="E30" s="23">
        <v>0</v>
      </c>
      <c r="F30" s="23">
        <v>0</v>
      </c>
      <c r="G30" s="23">
        <v>0</v>
      </c>
      <c r="H30" s="17">
        <v>0</v>
      </c>
      <c r="I30" s="17">
        <v>0</v>
      </c>
      <c r="J30" s="17">
        <v>0</v>
      </c>
      <c r="K30" s="24">
        <f>2000+3000+2000</f>
        <v>7000</v>
      </c>
      <c r="L30" s="24">
        <v>6089.69</v>
      </c>
      <c r="M30" s="19">
        <f>L30/K30</f>
        <v>0.8699557142857143</v>
      </c>
    </row>
    <row r="31" spans="1:13" ht="36" customHeight="1">
      <c r="A31" s="26">
        <v>23</v>
      </c>
      <c r="B31" s="27">
        <v>852</v>
      </c>
      <c r="C31" s="27">
        <v>85214</v>
      </c>
      <c r="D31" s="28" t="s">
        <v>34</v>
      </c>
      <c r="E31" s="23">
        <v>0</v>
      </c>
      <c r="F31" s="23">
        <v>0</v>
      </c>
      <c r="G31" s="23">
        <v>0</v>
      </c>
      <c r="H31" s="17">
        <v>0</v>
      </c>
      <c r="I31" s="17">
        <v>0</v>
      </c>
      <c r="J31" s="17">
        <v>0</v>
      </c>
      <c r="K31" s="32">
        <f>500+5000+5000</f>
        <v>10500</v>
      </c>
      <c r="L31" s="32">
        <v>2482.85</v>
      </c>
      <c r="M31" s="19">
        <f>L31/K31</f>
        <v>0.23646190476190476</v>
      </c>
    </row>
    <row r="32" spans="1:13" ht="36" customHeight="1">
      <c r="A32" s="26">
        <v>24</v>
      </c>
      <c r="B32" s="27">
        <v>852</v>
      </c>
      <c r="C32" s="27">
        <v>85216</v>
      </c>
      <c r="D32" s="28" t="s">
        <v>34</v>
      </c>
      <c r="E32" s="23">
        <v>0</v>
      </c>
      <c r="F32" s="23">
        <v>0</v>
      </c>
      <c r="G32" s="23">
        <v>0</v>
      </c>
      <c r="H32" s="17">
        <v>0</v>
      </c>
      <c r="I32" s="17">
        <v>0</v>
      </c>
      <c r="J32" s="17">
        <v>0</v>
      </c>
      <c r="K32" s="32">
        <f>20000+20000</f>
        <v>40000</v>
      </c>
      <c r="L32" s="32">
        <v>20232.24</v>
      </c>
      <c r="M32" s="19">
        <f>L32/K32</f>
        <v>0.5058060000000001</v>
      </c>
    </row>
    <row r="33" spans="1:13" ht="36" customHeight="1">
      <c r="A33" s="26">
        <v>25</v>
      </c>
      <c r="B33" s="27">
        <v>852</v>
      </c>
      <c r="C33" s="27">
        <v>85230</v>
      </c>
      <c r="D33" s="28" t="s">
        <v>34</v>
      </c>
      <c r="E33" s="23">
        <v>0</v>
      </c>
      <c r="F33" s="23">
        <v>0</v>
      </c>
      <c r="G33" s="23">
        <v>0</v>
      </c>
      <c r="H33" s="17">
        <v>0</v>
      </c>
      <c r="I33" s="17">
        <v>0</v>
      </c>
      <c r="J33" s="17">
        <v>0</v>
      </c>
      <c r="K33" s="32">
        <f>3000+5000</f>
        <v>8000</v>
      </c>
      <c r="L33" s="32">
        <v>2820</v>
      </c>
      <c r="M33" s="19">
        <f>L33/K33</f>
        <v>0.3525</v>
      </c>
    </row>
    <row r="34" spans="1:13" ht="36" customHeight="1">
      <c r="A34" s="26">
        <v>26</v>
      </c>
      <c r="B34" s="27">
        <v>852</v>
      </c>
      <c r="C34" s="27">
        <v>85278</v>
      </c>
      <c r="D34" s="22" t="s">
        <v>51</v>
      </c>
      <c r="E34" s="23">
        <v>0</v>
      </c>
      <c r="F34" s="23">
        <v>0</v>
      </c>
      <c r="G34" s="23">
        <v>0</v>
      </c>
      <c r="H34" s="34">
        <v>14700</v>
      </c>
      <c r="I34" s="34">
        <v>14700</v>
      </c>
      <c r="J34" s="25">
        <f>I34/H34</f>
        <v>1</v>
      </c>
      <c r="K34" s="17">
        <v>0</v>
      </c>
      <c r="L34" s="17">
        <v>0</v>
      </c>
      <c r="M34" s="17">
        <v>0</v>
      </c>
    </row>
    <row r="35" spans="1:13" ht="40.5" customHeight="1">
      <c r="A35" s="26">
        <v>27</v>
      </c>
      <c r="B35" s="27">
        <v>852</v>
      </c>
      <c r="C35" s="27">
        <v>85295</v>
      </c>
      <c r="D35" s="28" t="s">
        <v>34</v>
      </c>
      <c r="E35" s="23">
        <v>0</v>
      </c>
      <c r="F35" s="23">
        <v>0</v>
      </c>
      <c r="G35" s="23">
        <v>0</v>
      </c>
      <c r="H35" s="17">
        <v>0</v>
      </c>
      <c r="I35" s="17">
        <v>0</v>
      </c>
      <c r="J35" s="17">
        <v>0</v>
      </c>
      <c r="K35" s="32">
        <f>2000</f>
        <v>2000</v>
      </c>
      <c r="L35" s="32">
        <v>638.14</v>
      </c>
      <c r="M35" s="19">
        <f>L35/K35</f>
        <v>0.31907</v>
      </c>
    </row>
    <row r="36" spans="1:13" ht="40.5" customHeight="1">
      <c r="A36" s="93">
        <v>28</v>
      </c>
      <c r="B36" s="94">
        <v>853</v>
      </c>
      <c r="C36" s="94">
        <v>85311</v>
      </c>
      <c r="D36" s="28" t="s">
        <v>52</v>
      </c>
      <c r="E36" s="24">
        <f>E37</f>
        <v>26660</v>
      </c>
      <c r="F36" s="24">
        <f>F37</f>
        <v>26660</v>
      </c>
      <c r="G36" s="35">
        <f>F36/E36</f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40.5" customHeight="1">
      <c r="A37" s="93"/>
      <c r="B37" s="94"/>
      <c r="C37" s="94"/>
      <c r="D37" s="28" t="s">
        <v>53</v>
      </c>
      <c r="E37" s="36">
        <f>24660+2000</f>
        <v>26660</v>
      </c>
      <c r="F37" s="36">
        <v>26660</v>
      </c>
      <c r="G37" s="37">
        <f>F37/E37</f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40.5" customHeight="1">
      <c r="A38" s="26">
        <v>29</v>
      </c>
      <c r="B38" s="27">
        <v>855</v>
      </c>
      <c r="C38" s="27">
        <v>85501</v>
      </c>
      <c r="D38" s="28" t="s">
        <v>34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32">
        <f>10000+10000+10000+20000+20000-10000</f>
        <v>60000</v>
      </c>
      <c r="L38" s="32">
        <v>40914.95</v>
      </c>
      <c r="M38" s="19">
        <f>L38/K38</f>
        <v>0.6819158333333333</v>
      </c>
    </row>
    <row r="39" spans="1:13" ht="40.5" customHeight="1">
      <c r="A39" s="26">
        <v>30</v>
      </c>
      <c r="B39" s="27">
        <v>855</v>
      </c>
      <c r="C39" s="27">
        <v>85502</v>
      </c>
      <c r="D39" s="28" t="s">
        <v>34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32">
        <v>220000</v>
      </c>
      <c r="L39" s="32">
        <v>174290.56</v>
      </c>
      <c r="M39" s="19">
        <f>L39/K39</f>
        <v>0.7922298181818181</v>
      </c>
    </row>
    <row r="40" spans="1:13" ht="40.5" customHeight="1">
      <c r="A40" s="26">
        <v>31</v>
      </c>
      <c r="B40" s="27">
        <v>855</v>
      </c>
      <c r="C40" s="27">
        <v>85508</v>
      </c>
      <c r="D40" s="28" t="s">
        <v>34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32">
        <v>1000</v>
      </c>
      <c r="L40" s="32">
        <v>258.06</v>
      </c>
      <c r="M40" s="19">
        <f>L40/K40</f>
        <v>0.25806</v>
      </c>
    </row>
    <row r="41" spans="1:13" ht="40.5" customHeight="1">
      <c r="A41" s="26">
        <v>32</v>
      </c>
      <c r="B41" s="27">
        <v>855</v>
      </c>
      <c r="C41" s="27">
        <v>85508</v>
      </c>
      <c r="D41" s="28" t="s">
        <v>54</v>
      </c>
      <c r="E41" s="17">
        <v>0</v>
      </c>
      <c r="F41" s="17">
        <v>0</v>
      </c>
      <c r="G41" s="17">
        <v>0</v>
      </c>
      <c r="H41" s="38">
        <f>300000-14000</f>
        <v>286000</v>
      </c>
      <c r="I41" s="38">
        <v>276330.38</v>
      </c>
      <c r="J41" s="25">
        <f>I41/H41</f>
        <v>0.9661901398601399</v>
      </c>
      <c r="K41" s="17">
        <v>0</v>
      </c>
      <c r="L41" s="17">
        <v>0</v>
      </c>
      <c r="M41" s="17">
        <v>0</v>
      </c>
    </row>
    <row r="42" spans="1:13" ht="41.25" customHeight="1">
      <c r="A42" s="26">
        <v>33</v>
      </c>
      <c r="B42" s="27">
        <v>855</v>
      </c>
      <c r="C42" s="27">
        <v>85510</v>
      </c>
      <c r="D42" s="28" t="s">
        <v>55</v>
      </c>
      <c r="E42" s="17">
        <v>0</v>
      </c>
      <c r="F42" s="17">
        <v>0</v>
      </c>
      <c r="G42" s="17">
        <v>0</v>
      </c>
      <c r="H42" s="38">
        <f>134000-14650-7000</f>
        <v>112350</v>
      </c>
      <c r="I42" s="38">
        <v>105318.14</v>
      </c>
      <c r="J42" s="25">
        <f>I42/H42</f>
        <v>0.9374111259457054</v>
      </c>
      <c r="K42" s="17">
        <v>0</v>
      </c>
      <c r="L42" s="17">
        <v>0</v>
      </c>
      <c r="M42" s="17">
        <v>0</v>
      </c>
    </row>
    <row r="43" spans="1:13" ht="42" customHeight="1">
      <c r="A43" s="26">
        <v>34</v>
      </c>
      <c r="B43" s="27">
        <v>900</v>
      </c>
      <c r="C43" s="27">
        <v>90002</v>
      </c>
      <c r="D43" s="28" t="s">
        <v>56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24">
        <f>85000-12000</f>
        <v>73000</v>
      </c>
      <c r="L43" s="24">
        <v>69547.74</v>
      </c>
      <c r="M43" s="19">
        <f>L43/K43</f>
        <v>0.9527087671232878</v>
      </c>
    </row>
    <row r="44" spans="1:13" ht="50.25" customHeight="1">
      <c r="A44" s="26">
        <v>35</v>
      </c>
      <c r="B44" s="27">
        <v>900</v>
      </c>
      <c r="C44" s="27">
        <v>90095</v>
      </c>
      <c r="D44" s="21" t="s">
        <v>57</v>
      </c>
      <c r="E44" s="17">
        <v>0</v>
      </c>
      <c r="F44" s="17">
        <v>0</v>
      </c>
      <c r="G44" s="17">
        <v>0</v>
      </c>
      <c r="H44" s="24">
        <f>23370+147220+20945.83+224000</f>
        <v>415535.83</v>
      </c>
      <c r="I44" s="24">
        <v>369927.58</v>
      </c>
      <c r="J44" s="25">
        <f>I44/H44</f>
        <v>0.8902423167696514</v>
      </c>
      <c r="K44" s="17">
        <v>0</v>
      </c>
      <c r="L44" s="17">
        <v>0</v>
      </c>
      <c r="M44" s="17">
        <v>0</v>
      </c>
    </row>
    <row r="45" spans="1:13" s="20" customFormat="1" ht="39.75" customHeight="1">
      <c r="A45" s="93">
        <v>36</v>
      </c>
      <c r="B45" s="95">
        <v>921</v>
      </c>
      <c r="C45" s="95">
        <v>92108</v>
      </c>
      <c r="D45" s="28" t="s">
        <v>58</v>
      </c>
      <c r="E45" s="24">
        <f>3000000+17944.86+42833.03+37700</f>
        <v>3098477.8899999997</v>
      </c>
      <c r="F45" s="24">
        <v>3098477.89</v>
      </c>
      <c r="G45" s="35">
        <f>F45/E45</f>
        <v>1.0000000000000002</v>
      </c>
      <c r="H45" s="24">
        <f>H46</f>
        <v>51000</v>
      </c>
      <c r="I45" s="24">
        <f>I46</f>
        <v>46244.21</v>
      </c>
      <c r="J45" s="25">
        <f>I45/H45</f>
        <v>0.9067492156862745</v>
      </c>
      <c r="K45" s="17">
        <v>0</v>
      </c>
      <c r="L45" s="17">
        <v>0</v>
      </c>
      <c r="M45" s="17">
        <v>0</v>
      </c>
    </row>
    <row r="46" spans="1:13" s="20" customFormat="1" ht="39.75" customHeight="1">
      <c r="A46" s="93"/>
      <c r="B46" s="95"/>
      <c r="C46" s="95"/>
      <c r="D46" s="28" t="s">
        <v>59</v>
      </c>
      <c r="E46" s="17">
        <v>0</v>
      </c>
      <c r="F46" s="17">
        <v>0</v>
      </c>
      <c r="G46" s="17">
        <v>0</v>
      </c>
      <c r="H46" s="36">
        <v>51000</v>
      </c>
      <c r="I46" s="36">
        <v>46244.21</v>
      </c>
      <c r="J46" s="39">
        <f>I46/H46</f>
        <v>0.9067492156862745</v>
      </c>
      <c r="K46" s="17">
        <v>0</v>
      </c>
      <c r="L46" s="17">
        <v>0</v>
      </c>
      <c r="M46" s="17">
        <v>0</v>
      </c>
    </row>
    <row r="47" spans="1:13" s="20" customFormat="1" ht="39.75" customHeight="1">
      <c r="A47" s="26">
        <v>37</v>
      </c>
      <c r="B47" s="27">
        <v>921</v>
      </c>
      <c r="C47" s="27">
        <v>92108</v>
      </c>
      <c r="D47" s="40" t="s">
        <v>60</v>
      </c>
      <c r="E47" s="24">
        <f>1181000+2230</f>
        <v>1183230</v>
      </c>
      <c r="F47" s="24">
        <v>1183230</v>
      </c>
      <c r="G47" s="35">
        <f>F47/E47</f>
        <v>1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s="20" customFormat="1" ht="39.75" customHeight="1">
      <c r="A48" s="26">
        <v>38</v>
      </c>
      <c r="B48" s="27">
        <v>921</v>
      </c>
      <c r="C48" s="27">
        <v>92109</v>
      </c>
      <c r="D48" s="40" t="s">
        <v>61</v>
      </c>
      <c r="E48" s="24">
        <f>10000000-200000+186630+44000+40680</f>
        <v>10071310</v>
      </c>
      <c r="F48" s="24">
        <v>10071310</v>
      </c>
      <c r="G48" s="35">
        <f>F48/E48</f>
        <v>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s="20" customFormat="1" ht="39.75" customHeight="1">
      <c r="A49" s="26">
        <v>39</v>
      </c>
      <c r="B49" s="27">
        <v>921</v>
      </c>
      <c r="C49" s="27">
        <v>92110</v>
      </c>
      <c r="D49" s="40" t="s">
        <v>62</v>
      </c>
      <c r="E49" s="24">
        <f>1220000+13000+4000+22300</f>
        <v>1259300</v>
      </c>
      <c r="F49" s="24">
        <v>1259300</v>
      </c>
      <c r="G49" s="35">
        <f>F49/E49</f>
        <v>1</v>
      </c>
      <c r="H49" s="24">
        <f>H50</f>
        <v>9880</v>
      </c>
      <c r="I49" s="24">
        <f>I50</f>
        <v>9880</v>
      </c>
      <c r="J49" s="25">
        <f>I49/H49</f>
        <v>1</v>
      </c>
      <c r="K49" s="17">
        <v>0</v>
      </c>
      <c r="L49" s="17">
        <v>0</v>
      </c>
      <c r="M49" s="17">
        <v>0</v>
      </c>
    </row>
    <row r="50" spans="1:13" s="20" customFormat="1" ht="39.75" customHeight="1">
      <c r="A50" s="26">
        <v>40</v>
      </c>
      <c r="B50" s="27">
        <v>921</v>
      </c>
      <c r="C50" s="27">
        <v>92110</v>
      </c>
      <c r="D50" s="40" t="s">
        <v>63</v>
      </c>
      <c r="E50" s="17">
        <v>0</v>
      </c>
      <c r="F50" s="17">
        <v>0</v>
      </c>
      <c r="G50" s="17">
        <v>0</v>
      </c>
      <c r="H50" s="36">
        <v>9880</v>
      </c>
      <c r="I50" s="36">
        <v>9880</v>
      </c>
      <c r="J50" s="39">
        <f>I50/H50</f>
        <v>1</v>
      </c>
      <c r="K50" s="17">
        <v>0</v>
      </c>
      <c r="L50" s="17">
        <v>0</v>
      </c>
      <c r="M50" s="17">
        <v>0</v>
      </c>
    </row>
    <row r="51" spans="1:13" s="20" customFormat="1" ht="33" customHeight="1">
      <c r="A51" s="96">
        <v>41</v>
      </c>
      <c r="B51" s="94">
        <v>921</v>
      </c>
      <c r="C51" s="94">
        <v>92116</v>
      </c>
      <c r="D51" s="97" t="s">
        <v>64</v>
      </c>
      <c r="E51" s="24">
        <f>7280000+31340+45203+53415+103174+50756+97945+35000+3080+82400+50000</f>
        <v>7832313</v>
      </c>
      <c r="F51" s="24">
        <v>7832313</v>
      </c>
      <c r="G51" s="35">
        <f>F51/E51</f>
        <v>1</v>
      </c>
      <c r="H51" s="24">
        <f>H53+H54+H55</f>
        <v>28600</v>
      </c>
      <c r="I51" s="24">
        <f>I53+I54+I55</f>
        <v>28599.58</v>
      </c>
      <c r="J51" s="25">
        <v>0.9998999999999999</v>
      </c>
      <c r="K51" s="17">
        <v>0</v>
      </c>
      <c r="L51" s="17">
        <v>0</v>
      </c>
      <c r="M51" s="17">
        <v>0</v>
      </c>
    </row>
    <row r="52" spans="1:15" s="20" customFormat="1" ht="41.25" customHeight="1">
      <c r="A52" s="96"/>
      <c r="B52" s="94"/>
      <c r="C52" s="94"/>
      <c r="D52" s="97"/>
      <c r="E52" s="42" t="s">
        <v>65</v>
      </c>
      <c r="F52" s="42" t="s">
        <v>65</v>
      </c>
      <c r="G52" s="43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O52" s="44"/>
    </row>
    <row r="53" spans="1:15" s="20" customFormat="1" ht="41.25" customHeight="1">
      <c r="A53" s="96"/>
      <c r="B53" s="27">
        <v>921</v>
      </c>
      <c r="C53" s="27">
        <v>92116</v>
      </c>
      <c r="D53" s="45" t="s">
        <v>66</v>
      </c>
      <c r="E53" s="17">
        <v>0</v>
      </c>
      <c r="F53" s="17">
        <v>0</v>
      </c>
      <c r="G53" s="17">
        <v>0</v>
      </c>
      <c r="H53" s="46">
        <v>15600</v>
      </c>
      <c r="I53" s="46">
        <v>15599.58</v>
      </c>
      <c r="J53" s="39">
        <v>0.9998999999999999</v>
      </c>
      <c r="K53" s="17">
        <v>0</v>
      </c>
      <c r="L53" s="17">
        <v>0</v>
      </c>
      <c r="M53" s="17">
        <v>0</v>
      </c>
      <c r="O53" s="44"/>
    </row>
    <row r="54" spans="1:13" s="20" customFormat="1" ht="41.25" customHeight="1">
      <c r="A54" s="96"/>
      <c r="B54" s="27">
        <v>851</v>
      </c>
      <c r="C54" s="27">
        <v>85153</v>
      </c>
      <c r="D54" s="47" t="s">
        <v>67</v>
      </c>
      <c r="E54" s="17">
        <v>0</v>
      </c>
      <c r="F54" s="17">
        <v>0</v>
      </c>
      <c r="G54" s="17">
        <v>0</v>
      </c>
      <c r="H54" s="46">
        <v>6500</v>
      </c>
      <c r="I54" s="46">
        <v>6500</v>
      </c>
      <c r="J54" s="39">
        <f aca="true" t="shared" si="1" ref="J54:J63">I54/H54</f>
        <v>1</v>
      </c>
      <c r="K54" s="17">
        <v>0</v>
      </c>
      <c r="L54" s="17">
        <v>0</v>
      </c>
      <c r="M54" s="17">
        <v>0</v>
      </c>
    </row>
    <row r="55" spans="1:13" s="20" customFormat="1" ht="41.25" customHeight="1">
      <c r="A55" s="96"/>
      <c r="B55" s="27">
        <v>851</v>
      </c>
      <c r="C55" s="27">
        <v>85154</v>
      </c>
      <c r="D55" s="47" t="s">
        <v>68</v>
      </c>
      <c r="E55" s="17">
        <v>0</v>
      </c>
      <c r="F55" s="17">
        <v>0</v>
      </c>
      <c r="G55" s="17">
        <v>0</v>
      </c>
      <c r="H55" s="46">
        <v>6500</v>
      </c>
      <c r="I55" s="46">
        <v>6500</v>
      </c>
      <c r="J55" s="39">
        <f t="shared" si="1"/>
        <v>1</v>
      </c>
      <c r="K55" s="17">
        <v>0</v>
      </c>
      <c r="L55" s="17">
        <v>0</v>
      </c>
      <c r="M55" s="17">
        <v>0</v>
      </c>
    </row>
    <row r="56" spans="1:14" s="13" customFormat="1" ht="41.25" customHeight="1">
      <c r="A56" s="41">
        <v>42</v>
      </c>
      <c r="B56" s="27">
        <v>921</v>
      </c>
      <c r="C56" s="27">
        <v>92118</v>
      </c>
      <c r="D56" s="28" t="s">
        <v>69</v>
      </c>
      <c r="E56" s="17">
        <v>0</v>
      </c>
      <c r="F56" s="17">
        <v>0</v>
      </c>
      <c r="G56" s="17">
        <v>0</v>
      </c>
      <c r="H56" s="24">
        <v>250000</v>
      </c>
      <c r="I56" s="24">
        <v>250000</v>
      </c>
      <c r="J56" s="25">
        <f t="shared" si="1"/>
        <v>1</v>
      </c>
      <c r="K56" s="17">
        <v>0</v>
      </c>
      <c r="L56" s="17">
        <v>0</v>
      </c>
      <c r="M56" s="17">
        <v>0</v>
      </c>
      <c r="N56" s="20"/>
    </row>
    <row r="57" spans="1:13" s="13" customFormat="1" ht="39" customHeight="1">
      <c r="A57" s="48" t="s">
        <v>70</v>
      </c>
      <c r="B57" s="98" t="s">
        <v>71</v>
      </c>
      <c r="C57" s="98"/>
      <c r="D57" s="98"/>
      <c r="E57" s="49">
        <f>E63+E64+E65+E66+E67+E68+E69+E70+E71+E72+E80+E82+E92+E93+E73</f>
        <v>35899846.620000005</v>
      </c>
      <c r="F57" s="49">
        <f>F63+F64+F65+F66+F67+F68+F69+F70+F71+F72+F80+F82+F92+F93+F73</f>
        <v>35418506.43</v>
      </c>
      <c r="G57" s="11">
        <f>F57/E57</f>
        <v>0.9865921379805604</v>
      </c>
      <c r="H57" s="49">
        <f>H58+H60+H62+H74+H76+H77+H78+H79+H94+H95+H96+H99+H100+H101+H103+H98+H75+H97+H91+H59+H81+H102+H61+H68+H71+H63+H72</f>
        <v>11702335.040000001</v>
      </c>
      <c r="I57" s="49">
        <f>I58+I60+I62+I74+I76+I77+I78+I79+I94+I95+I96+I99+I100+I101+I103+I98+I75+I97+I91+I59+I81+I102+I61+I68+I71+I63+I72</f>
        <v>11516133.129999999</v>
      </c>
      <c r="J57" s="12">
        <f t="shared" si="1"/>
        <v>0.984088482395732</v>
      </c>
      <c r="K57" s="49">
        <v>0</v>
      </c>
      <c r="L57" s="49">
        <v>0</v>
      </c>
      <c r="M57" s="49">
        <v>0</v>
      </c>
    </row>
    <row r="58" spans="1:13" s="20" customFormat="1" ht="48" customHeight="1">
      <c r="A58" s="41">
        <v>1</v>
      </c>
      <c r="B58" s="27">
        <v>630</v>
      </c>
      <c r="C58" s="27">
        <v>63003</v>
      </c>
      <c r="D58" s="28" t="s">
        <v>72</v>
      </c>
      <c r="E58" s="17">
        <v>0</v>
      </c>
      <c r="F58" s="17">
        <v>0</v>
      </c>
      <c r="G58" s="17">
        <v>0</v>
      </c>
      <c r="H58" s="24">
        <f>100000+17245</f>
        <v>117245</v>
      </c>
      <c r="I58" s="24">
        <v>116768.66</v>
      </c>
      <c r="J58" s="25">
        <f t="shared" si="1"/>
        <v>0.9959372254680371</v>
      </c>
      <c r="K58" s="17">
        <v>0</v>
      </c>
      <c r="L58" s="17">
        <v>0</v>
      </c>
      <c r="M58" s="17">
        <v>0</v>
      </c>
    </row>
    <row r="59" spans="1:13" s="20" customFormat="1" ht="45" customHeight="1">
      <c r="A59" s="41">
        <v>2</v>
      </c>
      <c r="B59" s="27">
        <v>750</v>
      </c>
      <c r="C59" s="27">
        <v>75023</v>
      </c>
      <c r="D59" s="28" t="s">
        <v>73</v>
      </c>
      <c r="E59" s="17">
        <v>0</v>
      </c>
      <c r="F59" s="17">
        <v>0</v>
      </c>
      <c r="G59" s="17">
        <v>0</v>
      </c>
      <c r="H59" s="24">
        <f>60000-37000</f>
        <v>23000</v>
      </c>
      <c r="I59" s="24">
        <v>22893.57</v>
      </c>
      <c r="J59" s="25">
        <f t="shared" si="1"/>
        <v>0.9953726086956521</v>
      </c>
      <c r="K59" s="17">
        <v>0</v>
      </c>
      <c r="L59" s="17">
        <v>0</v>
      </c>
      <c r="M59" s="17">
        <v>0</v>
      </c>
    </row>
    <row r="60" spans="1:13" s="20" customFormat="1" ht="45" customHeight="1">
      <c r="A60" s="41">
        <v>3</v>
      </c>
      <c r="B60" s="27">
        <v>750</v>
      </c>
      <c r="C60" s="27">
        <v>75095</v>
      </c>
      <c r="D60" s="28" t="s">
        <v>74</v>
      </c>
      <c r="E60" s="17">
        <v>0</v>
      </c>
      <c r="F60" s="17">
        <v>0</v>
      </c>
      <c r="G60" s="17">
        <v>0</v>
      </c>
      <c r="H60" s="24">
        <f>165000+30000-30000</f>
        <v>165000</v>
      </c>
      <c r="I60" s="24">
        <v>165000</v>
      </c>
      <c r="J60" s="25">
        <f t="shared" si="1"/>
        <v>1</v>
      </c>
      <c r="K60" s="17">
        <v>0</v>
      </c>
      <c r="L60" s="17">
        <v>0</v>
      </c>
      <c r="M60" s="17">
        <v>0</v>
      </c>
    </row>
    <row r="61" spans="1:13" s="20" customFormat="1" ht="45" customHeight="1">
      <c r="A61" s="41">
        <v>4</v>
      </c>
      <c r="B61" s="27">
        <v>754</v>
      </c>
      <c r="C61" s="27">
        <v>75415</v>
      </c>
      <c r="D61" s="22" t="s">
        <v>75</v>
      </c>
      <c r="E61" s="17">
        <v>0</v>
      </c>
      <c r="F61" s="17">
        <v>0</v>
      </c>
      <c r="G61" s="17">
        <v>0</v>
      </c>
      <c r="H61" s="24">
        <v>40000</v>
      </c>
      <c r="I61" s="24">
        <v>40000</v>
      </c>
      <c r="J61" s="25">
        <f t="shared" si="1"/>
        <v>1</v>
      </c>
      <c r="K61" s="17">
        <v>0</v>
      </c>
      <c r="L61" s="17">
        <v>0</v>
      </c>
      <c r="M61" s="17">
        <v>0</v>
      </c>
    </row>
    <row r="62" spans="1:13" s="20" customFormat="1" ht="36" customHeight="1">
      <c r="A62" s="41">
        <v>5</v>
      </c>
      <c r="B62" s="27">
        <v>755</v>
      </c>
      <c r="C62" s="27">
        <v>75515</v>
      </c>
      <c r="D62" s="28" t="s">
        <v>76</v>
      </c>
      <c r="E62" s="17">
        <v>0</v>
      </c>
      <c r="F62" s="17">
        <v>0</v>
      </c>
      <c r="G62" s="17">
        <v>0</v>
      </c>
      <c r="H62" s="24">
        <v>182177.64</v>
      </c>
      <c r="I62" s="24">
        <v>180997.68</v>
      </c>
      <c r="J62" s="25">
        <f t="shared" si="1"/>
        <v>0.9935230251088991</v>
      </c>
      <c r="K62" s="17">
        <v>0</v>
      </c>
      <c r="L62" s="17">
        <v>0</v>
      </c>
      <c r="M62" s="17">
        <v>0</v>
      </c>
    </row>
    <row r="63" spans="1:14" ht="39.75" customHeight="1">
      <c r="A63" s="41">
        <v>6</v>
      </c>
      <c r="B63" s="27">
        <v>801</v>
      </c>
      <c r="C63" s="27">
        <v>80101</v>
      </c>
      <c r="D63" s="28" t="s">
        <v>77</v>
      </c>
      <c r="E63" s="24">
        <f>2374000+52769.52-3237.41-60000-52532.11</f>
        <v>2311000</v>
      </c>
      <c r="F63" s="24">
        <v>2303751.97</v>
      </c>
      <c r="G63" s="35">
        <f aca="true" t="shared" si="2" ref="G63:G73">F63/E63</f>
        <v>0.9968636823885765</v>
      </c>
      <c r="H63" s="50">
        <f>49532.11-2499.75</f>
        <v>47032.36</v>
      </c>
      <c r="I63" s="50">
        <v>47007.61</v>
      </c>
      <c r="J63" s="25">
        <f t="shared" si="1"/>
        <v>0.9994737665726321</v>
      </c>
      <c r="K63" s="17">
        <v>0</v>
      </c>
      <c r="L63" s="17">
        <v>0</v>
      </c>
      <c r="M63" s="17">
        <v>0</v>
      </c>
      <c r="N63" s="20"/>
    </row>
    <row r="64" spans="1:14" ht="39.75" customHeight="1">
      <c r="A64" s="41">
        <v>7</v>
      </c>
      <c r="B64" s="27">
        <v>801</v>
      </c>
      <c r="C64" s="27">
        <v>80102</v>
      </c>
      <c r="D64" s="28" t="s">
        <v>78</v>
      </c>
      <c r="E64" s="24">
        <f>94000+41740</f>
        <v>135740</v>
      </c>
      <c r="F64" s="24">
        <v>131038.04</v>
      </c>
      <c r="G64" s="35">
        <f t="shared" si="2"/>
        <v>0.9653605422130543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0"/>
    </row>
    <row r="65" spans="1:14" ht="39.75" customHeight="1">
      <c r="A65" s="41">
        <v>8</v>
      </c>
      <c r="B65" s="27">
        <v>801</v>
      </c>
      <c r="C65" s="27">
        <v>80103</v>
      </c>
      <c r="D65" s="28" t="s">
        <v>79</v>
      </c>
      <c r="E65" s="24">
        <f>82000-34890</f>
        <v>47110</v>
      </c>
      <c r="F65" s="24">
        <v>46106.3</v>
      </c>
      <c r="G65" s="35">
        <f t="shared" si="2"/>
        <v>0.9786945446826577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0"/>
    </row>
    <row r="66" spans="1:14" ht="39.75" customHeight="1">
      <c r="A66" s="41">
        <v>9</v>
      </c>
      <c r="B66" s="27">
        <v>801</v>
      </c>
      <c r="C66" s="27">
        <v>80104</v>
      </c>
      <c r="D66" s="28" t="s">
        <v>80</v>
      </c>
      <c r="E66" s="24">
        <f>5423000+681970</f>
        <v>6104970</v>
      </c>
      <c r="F66" s="24">
        <v>6098243.21</v>
      </c>
      <c r="G66" s="35">
        <f t="shared" si="2"/>
        <v>0.9988981452816312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0"/>
    </row>
    <row r="67" spans="1:14" ht="39.75" customHeight="1">
      <c r="A67" s="41">
        <v>10</v>
      </c>
      <c r="B67" s="27">
        <v>801</v>
      </c>
      <c r="C67" s="27">
        <v>80106</v>
      </c>
      <c r="D67" s="28" t="s">
        <v>81</v>
      </c>
      <c r="E67" s="24">
        <f>111000+25000+60000-2450</f>
        <v>193550</v>
      </c>
      <c r="F67" s="24">
        <v>190727.62</v>
      </c>
      <c r="G67" s="35">
        <f t="shared" si="2"/>
        <v>0.9854178248514596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0"/>
    </row>
    <row r="68" spans="1:14" ht="39.75" customHeight="1">
      <c r="A68" s="41">
        <v>11</v>
      </c>
      <c r="B68" s="27">
        <v>801</v>
      </c>
      <c r="C68" s="27">
        <v>80110</v>
      </c>
      <c r="D68" s="28" t="s">
        <v>82</v>
      </c>
      <c r="E68" s="24">
        <f>1709000+29454.56-274454.56</f>
        <v>1464000</v>
      </c>
      <c r="F68" s="24">
        <v>1418497.94</v>
      </c>
      <c r="G68" s="35">
        <f t="shared" si="2"/>
        <v>0.9689193579234973</v>
      </c>
      <c r="H68" s="34">
        <f>1163.33+29454.56</f>
        <v>30617.89</v>
      </c>
      <c r="I68" s="34">
        <v>30022.61</v>
      </c>
      <c r="J68" s="25">
        <f>I68/H68</f>
        <v>0.9805577719431352</v>
      </c>
      <c r="K68" s="17">
        <v>0</v>
      </c>
      <c r="L68" s="17">
        <v>0</v>
      </c>
      <c r="M68" s="17">
        <v>0</v>
      </c>
      <c r="N68" s="20"/>
    </row>
    <row r="69" spans="1:14" ht="39.75" customHeight="1">
      <c r="A69" s="41">
        <v>12</v>
      </c>
      <c r="B69" s="27">
        <v>801</v>
      </c>
      <c r="C69" s="27">
        <v>80120</v>
      </c>
      <c r="D69" s="28" t="s">
        <v>83</v>
      </c>
      <c r="E69" s="24">
        <f>11429000-225000-200000-193125</f>
        <v>10810875</v>
      </c>
      <c r="F69" s="24">
        <v>10765899.78</v>
      </c>
      <c r="G69" s="35">
        <f t="shared" si="2"/>
        <v>0.9958398168510874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0"/>
    </row>
    <row r="70" spans="1:14" ht="39.75" customHeight="1">
      <c r="A70" s="41">
        <v>13</v>
      </c>
      <c r="B70" s="27">
        <v>801</v>
      </c>
      <c r="C70" s="27">
        <v>80130</v>
      </c>
      <c r="D70" s="28" t="s">
        <v>84</v>
      </c>
      <c r="E70" s="24">
        <f>8681000-39800+200000+200000+318909.28</f>
        <v>9360109.28</v>
      </c>
      <c r="F70" s="24">
        <v>9084754.38</v>
      </c>
      <c r="G70" s="35">
        <f t="shared" si="2"/>
        <v>0.9705820849134361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0"/>
    </row>
    <row r="71" spans="1:14" ht="51.75" customHeight="1">
      <c r="A71" s="41">
        <v>14</v>
      </c>
      <c r="B71" s="27">
        <v>801</v>
      </c>
      <c r="C71" s="27">
        <v>80149</v>
      </c>
      <c r="D71" s="28" t="s">
        <v>85</v>
      </c>
      <c r="E71" s="24">
        <f>2595000+204450</f>
        <v>2799450</v>
      </c>
      <c r="F71" s="24">
        <v>2779987.71</v>
      </c>
      <c r="G71" s="35">
        <f t="shared" si="2"/>
        <v>0.9930478165353909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0"/>
    </row>
    <row r="72" spans="1:14" ht="64.5" customHeight="1">
      <c r="A72" s="41">
        <v>15</v>
      </c>
      <c r="B72" s="27">
        <v>801</v>
      </c>
      <c r="C72" s="27">
        <v>80150</v>
      </c>
      <c r="D72" s="28" t="s">
        <v>86</v>
      </c>
      <c r="E72" s="24">
        <f>1047000+1094.01+352.84+210223.15</f>
        <v>1258670</v>
      </c>
      <c r="F72" s="24">
        <v>1230664.34</v>
      </c>
      <c r="G72" s="35">
        <f t="shared" si="2"/>
        <v>0.9777497993914211</v>
      </c>
      <c r="H72" s="34">
        <f>1446.85+2434.08</f>
        <v>3880.93</v>
      </c>
      <c r="I72" s="34">
        <v>3737.86</v>
      </c>
      <c r="J72" s="25">
        <f>I72/H72</f>
        <v>0.9631351248283273</v>
      </c>
      <c r="K72" s="17">
        <v>0</v>
      </c>
      <c r="L72" s="17">
        <v>0</v>
      </c>
      <c r="M72" s="17">
        <v>0</v>
      </c>
      <c r="N72" s="20"/>
    </row>
    <row r="73" spans="1:14" ht="35.25" customHeight="1">
      <c r="A73" s="41">
        <v>16</v>
      </c>
      <c r="B73" s="27">
        <v>801</v>
      </c>
      <c r="C73" s="27">
        <v>80151</v>
      </c>
      <c r="D73" s="21" t="s">
        <v>87</v>
      </c>
      <c r="E73" s="24">
        <f>39800-10880</f>
        <v>28920</v>
      </c>
      <c r="F73" s="24">
        <v>28916.8</v>
      </c>
      <c r="G73" s="35">
        <f t="shared" si="2"/>
        <v>0.9998893499308437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20"/>
    </row>
    <row r="74" spans="1:13" ht="36.75" customHeight="1">
      <c r="A74" s="41">
        <v>17</v>
      </c>
      <c r="B74" s="27">
        <v>801</v>
      </c>
      <c r="C74" s="27">
        <v>80195</v>
      </c>
      <c r="D74" s="28" t="s">
        <v>88</v>
      </c>
      <c r="E74" s="17">
        <v>0</v>
      </c>
      <c r="F74" s="17">
        <v>0</v>
      </c>
      <c r="G74" s="17">
        <v>0</v>
      </c>
      <c r="H74" s="24">
        <f>80000-10000-4000</f>
        <v>66000</v>
      </c>
      <c r="I74" s="24">
        <v>64999.99</v>
      </c>
      <c r="J74" s="25">
        <f aca="true" t="shared" si="3" ref="J74:J79">I74/H74</f>
        <v>0.9848483333333333</v>
      </c>
      <c r="K74" s="17">
        <v>0</v>
      </c>
      <c r="L74" s="17">
        <v>0</v>
      </c>
      <c r="M74" s="17">
        <v>0</v>
      </c>
    </row>
    <row r="75" spans="1:14" s="52" customFormat="1" ht="56.25" customHeight="1">
      <c r="A75" s="41">
        <v>18</v>
      </c>
      <c r="B75" s="27">
        <v>851</v>
      </c>
      <c r="C75" s="27">
        <v>85149</v>
      </c>
      <c r="D75" s="28" t="s">
        <v>89</v>
      </c>
      <c r="E75" s="17">
        <v>0</v>
      </c>
      <c r="F75" s="17">
        <v>0</v>
      </c>
      <c r="G75" s="17">
        <v>0</v>
      </c>
      <c r="H75" s="24">
        <v>150000</v>
      </c>
      <c r="I75" s="24">
        <v>147804.57</v>
      </c>
      <c r="J75" s="25">
        <f t="shared" si="3"/>
        <v>0.9853638</v>
      </c>
      <c r="K75" s="17">
        <v>0</v>
      </c>
      <c r="L75" s="17">
        <v>0</v>
      </c>
      <c r="M75" s="17">
        <v>0</v>
      </c>
      <c r="N75" s="51" t="e">
        <f>NA()</f>
        <v>#N/A</v>
      </c>
    </row>
    <row r="76" spans="1:14" ht="36.75" customHeight="1">
      <c r="A76" s="41">
        <v>19</v>
      </c>
      <c r="B76" s="27">
        <v>851</v>
      </c>
      <c r="C76" s="27">
        <v>85153</v>
      </c>
      <c r="D76" s="28" t="s">
        <v>90</v>
      </c>
      <c r="E76" s="17">
        <v>0</v>
      </c>
      <c r="F76" s="17">
        <v>0</v>
      </c>
      <c r="G76" s="17">
        <v>0</v>
      </c>
      <c r="H76" s="24">
        <f>275500+11215</f>
        <v>286715</v>
      </c>
      <c r="I76" s="24">
        <v>261025</v>
      </c>
      <c r="J76" s="25">
        <f t="shared" si="3"/>
        <v>0.9103988281045637</v>
      </c>
      <c r="K76" s="17">
        <v>0</v>
      </c>
      <c r="L76" s="17">
        <v>0</v>
      </c>
      <c r="M76" s="17">
        <v>0</v>
      </c>
      <c r="N76" s="53" t="e">
        <f>NA()</f>
        <v>#N/A</v>
      </c>
    </row>
    <row r="77" spans="1:13" ht="41.25" customHeight="1">
      <c r="A77" s="41">
        <v>20</v>
      </c>
      <c r="B77" s="27">
        <v>851</v>
      </c>
      <c r="C77" s="27">
        <v>85154</v>
      </c>
      <c r="D77" s="28" t="s">
        <v>91</v>
      </c>
      <c r="E77" s="17">
        <v>0</v>
      </c>
      <c r="F77" s="17">
        <v>0</v>
      </c>
      <c r="G77" s="17">
        <v>0</v>
      </c>
      <c r="H77" s="24">
        <f>1292980+39560-5700-15200</f>
        <v>1311640</v>
      </c>
      <c r="I77" s="24">
        <v>1302367.24</v>
      </c>
      <c r="J77" s="25">
        <f t="shared" si="3"/>
        <v>0.9929304077338293</v>
      </c>
      <c r="K77" s="17">
        <v>0</v>
      </c>
      <c r="L77" s="17">
        <v>0</v>
      </c>
      <c r="M77" s="17">
        <v>0</v>
      </c>
    </row>
    <row r="78" spans="1:13" ht="51.75" customHeight="1">
      <c r="A78" s="41">
        <v>21</v>
      </c>
      <c r="B78" s="27">
        <v>851</v>
      </c>
      <c r="C78" s="27">
        <v>85195</v>
      </c>
      <c r="D78" s="28" t="s">
        <v>92</v>
      </c>
      <c r="E78" s="17">
        <v>0</v>
      </c>
      <c r="F78" s="17">
        <v>0</v>
      </c>
      <c r="G78" s="17">
        <v>0</v>
      </c>
      <c r="H78" s="24">
        <f>92360-7340+8000</f>
        <v>93020</v>
      </c>
      <c r="I78" s="24">
        <v>92060</v>
      </c>
      <c r="J78" s="25">
        <f t="shared" si="3"/>
        <v>0.9896796387873575</v>
      </c>
      <c r="K78" s="17">
        <v>0</v>
      </c>
      <c r="L78" s="17">
        <v>0</v>
      </c>
      <c r="M78" s="17">
        <v>0</v>
      </c>
    </row>
    <row r="79" spans="1:14" ht="43.5" customHeight="1">
      <c r="A79" s="41">
        <v>22</v>
      </c>
      <c r="B79" s="27">
        <v>852</v>
      </c>
      <c r="C79" s="27">
        <v>85228</v>
      </c>
      <c r="D79" s="28" t="s">
        <v>93</v>
      </c>
      <c r="E79" s="17">
        <v>0</v>
      </c>
      <c r="F79" s="17">
        <v>0</v>
      </c>
      <c r="G79" s="17">
        <v>0</v>
      </c>
      <c r="H79" s="24">
        <v>5115000</v>
      </c>
      <c r="I79" s="24">
        <v>5115000</v>
      </c>
      <c r="J79" s="25">
        <f t="shared" si="3"/>
        <v>1</v>
      </c>
      <c r="K79" s="17">
        <v>0</v>
      </c>
      <c r="L79" s="17">
        <v>0</v>
      </c>
      <c r="M79" s="17">
        <v>0</v>
      </c>
      <c r="N79" s="53"/>
    </row>
    <row r="80" spans="1:14" ht="45.75" customHeight="1">
      <c r="A80" s="41">
        <v>23</v>
      </c>
      <c r="B80" s="27">
        <v>852</v>
      </c>
      <c r="C80" s="27">
        <v>85232</v>
      </c>
      <c r="D80" s="40" t="s">
        <v>94</v>
      </c>
      <c r="E80" s="24">
        <f>132000-750</f>
        <v>131250</v>
      </c>
      <c r="F80" s="24">
        <v>131250</v>
      </c>
      <c r="G80" s="35">
        <f>F80/E80</f>
        <v>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53"/>
    </row>
    <row r="81" spans="1:14" ht="45.75" customHeight="1">
      <c r="A81" s="41">
        <v>24</v>
      </c>
      <c r="B81" s="27">
        <v>852</v>
      </c>
      <c r="C81" s="27">
        <v>85295</v>
      </c>
      <c r="D81" s="40" t="s">
        <v>95</v>
      </c>
      <c r="E81" s="17">
        <v>0</v>
      </c>
      <c r="F81" s="17">
        <v>0</v>
      </c>
      <c r="G81" s="17">
        <v>0</v>
      </c>
      <c r="H81" s="24">
        <f>149280+10000-2000</f>
        <v>157280</v>
      </c>
      <c r="I81" s="24">
        <f>8000+143448</f>
        <v>151448</v>
      </c>
      <c r="J81" s="25">
        <f>I81/H81</f>
        <v>0.9629196337741607</v>
      </c>
      <c r="K81" s="17">
        <v>0</v>
      </c>
      <c r="L81" s="17">
        <v>0</v>
      </c>
      <c r="M81" s="17">
        <v>0</v>
      </c>
      <c r="N81" s="53"/>
    </row>
    <row r="82" spans="1:13" ht="29.25" customHeight="1">
      <c r="A82" s="96">
        <v>25</v>
      </c>
      <c r="B82" s="54">
        <v>853</v>
      </c>
      <c r="C82" s="54">
        <v>85311</v>
      </c>
      <c r="D82" s="16" t="s">
        <v>52</v>
      </c>
      <c r="E82" s="32">
        <f>E83+E84+E85+E86+E87+E88+E89+E90</f>
        <v>239942.34</v>
      </c>
      <c r="F82" s="32">
        <v>204143</v>
      </c>
      <c r="G82" s="25">
        <f aca="true" t="shared" si="4" ref="G82:G90">F82/E82</f>
        <v>0.8508002380905346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</row>
    <row r="83" spans="1:13" ht="25.5" customHeight="1">
      <c r="A83" s="96"/>
      <c r="B83" s="99"/>
      <c r="C83" s="99"/>
      <c r="D83" s="16" t="s">
        <v>96</v>
      </c>
      <c r="E83" s="55">
        <f>24660+2000</f>
        <v>26660</v>
      </c>
      <c r="F83" s="55">
        <v>26660</v>
      </c>
      <c r="G83" s="39">
        <f t="shared" si="4"/>
        <v>1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</row>
    <row r="84" spans="1:13" ht="25.5" customHeight="1">
      <c r="A84" s="96"/>
      <c r="B84" s="99"/>
      <c r="C84" s="99"/>
      <c r="D84" s="16" t="s">
        <v>97</v>
      </c>
      <c r="E84" s="55">
        <f>49320+4000</f>
        <v>53320</v>
      </c>
      <c r="F84" s="55">
        <v>53320</v>
      </c>
      <c r="G84" s="39">
        <f t="shared" si="4"/>
        <v>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</row>
    <row r="85" spans="1:13" ht="29.25" customHeight="1">
      <c r="A85" s="96"/>
      <c r="B85" s="99"/>
      <c r="C85" s="99"/>
      <c r="D85" s="16" t="s">
        <v>98</v>
      </c>
      <c r="E85" s="55">
        <f>24660+2000</f>
        <v>26660</v>
      </c>
      <c r="F85" s="55">
        <v>26660</v>
      </c>
      <c r="G85" s="39">
        <f t="shared" si="4"/>
        <v>1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</row>
    <row r="86" spans="1:13" ht="33" customHeight="1">
      <c r="A86" s="96"/>
      <c r="B86" s="99"/>
      <c r="C86" s="99"/>
      <c r="D86" s="16" t="s">
        <v>99</v>
      </c>
      <c r="E86" s="55">
        <f>41100+3334</f>
        <v>44434</v>
      </c>
      <c r="F86" s="55">
        <v>44434</v>
      </c>
      <c r="G86" s="39">
        <f t="shared" si="4"/>
        <v>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1:13" ht="25.5" customHeight="1">
      <c r="A87" s="96"/>
      <c r="B87" s="99"/>
      <c r="C87" s="99"/>
      <c r="D87" s="16" t="s">
        <v>100</v>
      </c>
      <c r="E87" s="55">
        <f>41100+3334+1778</f>
        <v>46212</v>
      </c>
      <c r="F87" s="55">
        <v>44434</v>
      </c>
      <c r="G87" s="39">
        <f t="shared" si="4"/>
        <v>0.9615251449839869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</row>
    <row r="88" spans="1:13" ht="25.5" customHeight="1">
      <c r="A88" s="96"/>
      <c r="B88" s="99"/>
      <c r="C88" s="99"/>
      <c r="D88" s="16" t="s">
        <v>101</v>
      </c>
      <c r="E88" s="55">
        <v>7109.36</v>
      </c>
      <c r="F88" s="55">
        <v>7109.33</v>
      </c>
      <c r="G88" s="39">
        <f t="shared" si="4"/>
        <v>0.999995780210877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</row>
    <row r="89" spans="1:13" ht="25.5" customHeight="1">
      <c r="A89" s="96"/>
      <c r="B89" s="99"/>
      <c r="C89" s="99"/>
      <c r="D89" s="16" t="s">
        <v>102</v>
      </c>
      <c r="E89" s="55">
        <v>33769.64</v>
      </c>
      <c r="F89" s="55">
        <v>0</v>
      </c>
      <c r="G89" s="39">
        <f t="shared" si="4"/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</row>
    <row r="90" spans="1:13" ht="25.5" customHeight="1">
      <c r="A90" s="96"/>
      <c r="B90" s="99"/>
      <c r="C90" s="99"/>
      <c r="D90" s="16" t="s">
        <v>103</v>
      </c>
      <c r="E90" s="55">
        <v>1777.34</v>
      </c>
      <c r="F90" s="55">
        <v>1525.67</v>
      </c>
      <c r="G90" s="39">
        <f t="shared" si="4"/>
        <v>0.8584007561862109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</row>
    <row r="91" spans="1:13" ht="48.75" customHeight="1">
      <c r="A91" s="41">
        <v>26</v>
      </c>
      <c r="B91" s="27">
        <v>853</v>
      </c>
      <c r="C91" s="27">
        <v>85395</v>
      </c>
      <c r="D91" s="28" t="s">
        <v>104</v>
      </c>
      <c r="E91" s="17">
        <v>0</v>
      </c>
      <c r="F91" s="17">
        <v>0</v>
      </c>
      <c r="G91" s="17">
        <v>0</v>
      </c>
      <c r="H91" s="56">
        <f>200000-3000+6720</f>
        <v>203720</v>
      </c>
      <c r="I91" s="56">
        <v>203720</v>
      </c>
      <c r="J91" s="25">
        <f>I91/H91</f>
        <v>1</v>
      </c>
      <c r="K91" s="17">
        <v>0</v>
      </c>
      <c r="L91" s="17">
        <v>0</v>
      </c>
      <c r="M91" s="17">
        <v>0</v>
      </c>
    </row>
    <row r="92" spans="1:13" ht="30" customHeight="1">
      <c r="A92" s="41">
        <v>27</v>
      </c>
      <c r="B92" s="27">
        <v>854</v>
      </c>
      <c r="C92" s="27">
        <v>85404</v>
      </c>
      <c r="D92" s="28" t="s">
        <v>105</v>
      </c>
      <c r="E92" s="24">
        <f>445000-46110</f>
        <v>398890</v>
      </c>
      <c r="F92" s="24">
        <v>395159.58</v>
      </c>
      <c r="G92" s="35">
        <f>F92/E92</f>
        <v>0.9906479981949912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</row>
    <row r="93" spans="1:13" ht="29.25" customHeight="1">
      <c r="A93" s="41">
        <v>28</v>
      </c>
      <c r="B93" s="27">
        <v>854</v>
      </c>
      <c r="C93" s="27">
        <v>85410</v>
      </c>
      <c r="D93" s="28" t="s">
        <v>106</v>
      </c>
      <c r="E93" s="24">
        <f>510000+20370+85000</f>
        <v>615370</v>
      </c>
      <c r="F93" s="24">
        <v>609365.76</v>
      </c>
      <c r="G93" s="35">
        <f>F93/E93</f>
        <v>0.9902428782683589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</row>
    <row r="94" spans="1:13" ht="41.25" customHeight="1">
      <c r="A94" s="41">
        <v>29</v>
      </c>
      <c r="B94" s="27">
        <v>854</v>
      </c>
      <c r="C94" s="27">
        <v>85412</v>
      </c>
      <c r="D94" s="28" t="s">
        <v>107</v>
      </c>
      <c r="E94" s="17">
        <v>0</v>
      </c>
      <c r="F94" s="17">
        <v>0</v>
      </c>
      <c r="G94" s="17">
        <v>0</v>
      </c>
      <c r="H94" s="24">
        <f>30000+4000</f>
        <v>34000</v>
      </c>
      <c r="I94" s="24">
        <v>34000</v>
      </c>
      <c r="J94" s="25">
        <f aca="true" t="shared" si="5" ref="J94:J103">I94/H94</f>
        <v>1</v>
      </c>
      <c r="K94" s="17">
        <v>0</v>
      </c>
      <c r="L94" s="17">
        <v>0</v>
      </c>
      <c r="M94" s="17">
        <v>0</v>
      </c>
    </row>
    <row r="95" spans="1:13" ht="41.25" customHeight="1">
      <c r="A95" s="41">
        <v>30</v>
      </c>
      <c r="B95" s="27">
        <v>855</v>
      </c>
      <c r="C95" s="27">
        <v>85504</v>
      </c>
      <c r="D95" s="28" t="s">
        <v>104</v>
      </c>
      <c r="E95" s="17">
        <v>0</v>
      </c>
      <c r="F95" s="17">
        <v>0</v>
      </c>
      <c r="G95" s="17">
        <v>0</v>
      </c>
      <c r="H95" s="24">
        <v>758000</v>
      </c>
      <c r="I95" s="24">
        <v>758000</v>
      </c>
      <c r="J95" s="25">
        <f t="shared" si="5"/>
        <v>1</v>
      </c>
      <c r="K95" s="17">
        <v>0</v>
      </c>
      <c r="L95" s="17">
        <v>0</v>
      </c>
      <c r="M95" s="17">
        <v>0</v>
      </c>
    </row>
    <row r="96" spans="1:13" ht="36" customHeight="1">
      <c r="A96" s="41">
        <v>31</v>
      </c>
      <c r="B96" s="27">
        <v>900</v>
      </c>
      <c r="C96" s="27">
        <v>90002</v>
      </c>
      <c r="D96" s="28" t="s">
        <v>108</v>
      </c>
      <c r="E96" s="17">
        <v>0</v>
      </c>
      <c r="F96" s="17">
        <v>0</v>
      </c>
      <c r="G96" s="17">
        <v>0</v>
      </c>
      <c r="H96" s="32">
        <v>10000</v>
      </c>
      <c r="I96" s="32">
        <v>7434</v>
      </c>
      <c r="J96" s="25">
        <f t="shared" si="5"/>
        <v>0.7434</v>
      </c>
      <c r="K96" s="17">
        <v>0</v>
      </c>
      <c r="L96" s="17">
        <v>0</v>
      </c>
      <c r="M96" s="17">
        <v>0</v>
      </c>
    </row>
    <row r="97" spans="1:21" ht="50.25" customHeight="1">
      <c r="A97" s="41">
        <v>32</v>
      </c>
      <c r="B97" s="27">
        <v>900</v>
      </c>
      <c r="C97" s="27">
        <v>90005</v>
      </c>
      <c r="D97" s="28" t="s">
        <v>109</v>
      </c>
      <c r="E97" s="17">
        <v>0</v>
      </c>
      <c r="F97" s="17">
        <v>0</v>
      </c>
      <c r="G97" s="17">
        <v>0</v>
      </c>
      <c r="H97" s="24">
        <f>200000+68419.5+12533.04+5000+37732.68</f>
        <v>323685.22</v>
      </c>
      <c r="I97" s="24">
        <v>314096.77</v>
      </c>
      <c r="J97" s="25">
        <f t="shared" si="5"/>
        <v>0.9703772387259451</v>
      </c>
      <c r="K97" s="17">
        <v>0</v>
      </c>
      <c r="L97" s="17">
        <v>0</v>
      </c>
      <c r="M97" s="17">
        <v>0</v>
      </c>
      <c r="N97" s="53"/>
      <c r="O97" s="53"/>
      <c r="P97" s="53"/>
      <c r="Q97" s="53"/>
      <c r="R97" s="53"/>
      <c r="S97" s="53"/>
      <c r="T97" s="53"/>
      <c r="U97" s="53"/>
    </row>
    <row r="98" spans="1:21" ht="50.25" customHeight="1">
      <c r="A98" s="41">
        <v>33</v>
      </c>
      <c r="B98" s="57">
        <v>900</v>
      </c>
      <c r="C98" s="57">
        <v>90095</v>
      </c>
      <c r="D98" s="28" t="s">
        <v>110</v>
      </c>
      <c r="E98" s="17">
        <v>0</v>
      </c>
      <c r="F98" s="17">
        <v>0</v>
      </c>
      <c r="G98" s="17">
        <v>0</v>
      </c>
      <c r="H98" s="24">
        <f>20000-7434</f>
        <v>12566</v>
      </c>
      <c r="I98" s="24">
        <v>12566</v>
      </c>
      <c r="J98" s="25">
        <f t="shared" si="5"/>
        <v>1</v>
      </c>
      <c r="K98" s="17">
        <v>0</v>
      </c>
      <c r="L98" s="17">
        <v>0</v>
      </c>
      <c r="M98" s="17">
        <v>0</v>
      </c>
      <c r="N98" s="53"/>
      <c r="O98" s="53"/>
      <c r="P98" s="53"/>
      <c r="Q98" s="53"/>
      <c r="R98" s="53"/>
      <c r="S98" s="53"/>
      <c r="T98" s="53"/>
      <c r="U98" s="53"/>
    </row>
    <row r="99" spans="1:21" ht="50.25" customHeight="1">
      <c r="A99" s="41">
        <v>34</v>
      </c>
      <c r="B99" s="27">
        <v>900</v>
      </c>
      <c r="C99" s="27">
        <v>90095</v>
      </c>
      <c r="D99" s="28" t="s">
        <v>111</v>
      </c>
      <c r="E99" s="17">
        <v>0</v>
      </c>
      <c r="F99" s="17">
        <v>0</v>
      </c>
      <c r="G99" s="17">
        <v>0</v>
      </c>
      <c r="H99" s="24">
        <f>70000-50000</f>
        <v>20000</v>
      </c>
      <c r="I99" s="24">
        <v>20000</v>
      </c>
      <c r="J99" s="25">
        <f t="shared" si="5"/>
        <v>1</v>
      </c>
      <c r="K99" s="17">
        <v>0</v>
      </c>
      <c r="L99" s="17">
        <v>0</v>
      </c>
      <c r="M99" s="17">
        <v>0</v>
      </c>
      <c r="N99" s="53"/>
      <c r="O99" s="53"/>
      <c r="P99" s="53"/>
      <c r="Q99" s="53"/>
      <c r="R99" s="53"/>
      <c r="S99" s="53"/>
      <c r="T99" s="53"/>
      <c r="U99" s="53"/>
    </row>
    <row r="100" spans="1:21" s="20" customFormat="1" ht="50.25" customHeight="1">
      <c r="A100" s="41">
        <v>35</v>
      </c>
      <c r="B100" s="27">
        <v>921</v>
      </c>
      <c r="C100" s="27">
        <v>92105</v>
      </c>
      <c r="D100" s="28" t="s">
        <v>112</v>
      </c>
      <c r="E100" s="17">
        <v>0</v>
      </c>
      <c r="F100" s="17">
        <v>0</v>
      </c>
      <c r="G100" s="17">
        <v>0</v>
      </c>
      <c r="H100" s="24">
        <f>295000+4000+5000</f>
        <v>304000</v>
      </c>
      <c r="I100" s="24">
        <v>302562</v>
      </c>
      <c r="J100" s="25">
        <f t="shared" si="5"/>
        <v>0.9952697368421053</v>
      </c>
      <c r="K100" s="17">
        <v>0</v>
      </c>
      <c r="L100" s="17">
        <v>0</v>
      </c>
      <c r="M100" s="17">
        <v>0</v>
      </c>
      <c r="N100" s="44"/>
      <c r="O100" s="44"/>
      <c r="P100" s="44"/>
      <c r="Q100" s="44"/>
      <c r="R100" s="44"/>
      <c r="S100" s="44"/>
      <c r="T100" s="44"/>
      <c r="U100" s="44"/>
    </row>
    <row r="101" spans="1:21" s="20" customFormat="1" ht="50.25" customHeight="1">
      <c r="A101" s="41">
        <v>36</v>
      </c>
      <c r="B101" s="27">
        <v>921</v>
      </c>
      <c r="C101" s="27">
        <v>92120</v>
      </c>
      <c r="D101" s="28" t="s">
        <v>113</v>
      </c>
      <c r="E101" s="17">
        <v>0</v>
      </c>
      <c r="F101" s="17">
        <v>0</v>
      </c>
      <c r="G101" s="17">
        <v>0</v>
      </c>
      <c r="H101" s="24">
        <f>550000+150000-50000-21000</f>
        <v>629000</v>
      </c>
      <c r="I101" s="24">
        <v>508358.48</v>
      </c>
      <c r="J101" s="25">
        <f t="shared" si="5"/>
        <v>0.808201081081081</v>
      </c>
      <c r="K101" s="17">
        <v>0</v>
      </c>
      <c r="L101" s="17">
        <v>0</v>
      </c>
      <c r="M101" s="17">
        <v>0</v>
      </c>
      <c r="N101" s="44"/>
      <c r="O101" s="44"/>
      <c r="P101" s="44"/>
      <c r="Q101" s="44"/>
      <c r="R101" s="44"/>
      <c r="S101" s="44"/>
      <c r="T101" s="44"/>
      <c r="U101" s="44"/>
    </row>
    <row r="102" spans="1:21" s="20" customFormat="1" ht="50.25" customHeight="1">
      <c r="A102" s="41">
        <v>37</v>
      </c>
      <c r="B102" s="27">
        <v>921</v>
      </c>
      <c r="C102" s="27">
        <v>92195</v>
      </c>
      <c r="D102" s="28" t="s">
        <v>114</v>
      </c>
      <c r="E102" s="17">
        <v>0</v>
      </c>
      <c r="F102" s="17">
        <v>0</v>
      </c>
      <c r="G102" s="17">
        <v>0</v>
      </c>
      <c r="H102" s="24">
        <f>10000+10000-1000+1000</f>
        <v>20000</v>
      </c>
      <c r="I102" s="24">
        <v>20000</v>
      </c>
      <c r="J102" s="25">
        <f t="shared" si="5"/>
        <v>1</v>
      </c>
      <c r="K102" s="17">
        <v>0</v>
      </c>
      <c r="L102" s="17">
        <v>0</v>
      </c>
      <c r="M102" s="17">
        <v>0</v>
      </c>
      <c r="N102" s="44"/>
      <c r="O102" s="44"/>
      <c r="P102" s="44"/>
      <c r="Q102" s="44"/>
      <c r="R102" s="44"/>
      <c r="S102" s="44"/>
      <c r="T102" s="44"/>
      <c r="U102" s="44"/>
    </row>
    <row r="103" spans="1:21" s="20" customFormat="1" ht="50.25" customHeight="1">
      <c r="A103" s="41">
        <v>38</v>
      </c>
      <c r="B103" s="94">
        <v>926</v>
      </c>
      <c r="C103" s="94">
        <v>92605</v>
      </c>
      <c r="D103" s="28" t="s">
        <v>115</v>
      </c>
      <c r="E103" s="17">
        <v>0</v>
      </c>
      <c r="F103" s="17">
        <v>0</v>
      </c>
      <c r="G103" s="17">
        <v>0</v>
      </c>
      <c r="H103" s="24">
        <f>1336000+280000-17245</f>
        <v>1598755</v>
      </c>
      <c r="I103" s="24">
        <v>1594263.09</v>
      </c>
      <c r="J103" s="25">
        <f t="shared" si="5"/>
        <v>0.9971903700066614</v>
      </c>
      <c r="K103" s="17">
        <v>0</v>
      </c>
      <c r="L103" s="17">
        <v>0</v>
      </c>
      <c r="M103" s="17">
        <v>0</v>
      </c>
      <c r="N103" s="44"/>
      <c r="O103" s="44"/>
      <c r="P103" s="44"/>
      <c r="Q103" s="44"/>
      <c r="R103" s="44"/>
      <c r="S103" s="44"/>
      <c r="T103" s="44"/>
      <c r="U103" s="44"/>
    </row>
    <row r="104" spans="1:21" s="20" customFormat="1" ht="17.25" customHeight="1" hidden="1">
      <c r="A104" s="41"/>
      <c r="B104" s="94"/>
      <c r="C104" s="94"/>
      <c r="D104" s="28" t="s">
        <v>116</v>
      </c>
      <c r="E104" s="58"/>
      <c r="F104" s="58"/>
      <c r="G104" s="37"/>
      <c r="H104" s="36">
        <v>-17245</v>
      </c>
      <c r="I104" s="36"/>
      <c r="J104" s="36"/>
      <c r="K104" s="58"/>
      <c r="L104" s="58"/>
      <c r="M104" s="58"/>
      <c r="N104" s="44"/>
      <c r="O104" s="44"/>
      <c r="P104" s="44"/>
      <c r="Q104" s="44"/>
      <c r="R104" s="44"/>
      <c r="S104" s="44"/>
      <c r="T104" s="44"/>
      <c r="U104" s="44"/>
    </row>
    <row r="105" spans="1:21" s="20" customFormat="1" ht="17.25" customHeight="1" hidden="1">
      <c r="A105" s="41"/>
      <c r="B105" s="94"/>
      <c r="C105" s="94"/>
      <c r="D105" s="28" t="s">
        <v>117</v>
      </c>
      <c r="E105" s="58"/>
      <c r="F105" s="58"/>
      <c r="G105" s="37"/>
      <c r="H105" s="36">
        <v>1616000</v>
      </c>
      <c r="I105" s="36"/>
      <c r="J105" s="36"/>
      <c r="K105" s="58"/>
      <c r="L105" s="58"/>
      <c r="M105" s="58"/>
      <c r="N105" s="44"/>
      <c r="O105" s="44"/>
      <c r="P105" s="44"/>
      <c r="Q105" s="44"/>
      <c r="R105" s="44"/>
      <c r="S105" s="44"/>
      <c r="T105" s="44"/>
      <c r="U105" s="44"/>
    </row>
    <row r="106" spans="1:21" s="13" customFormat="1" ht="30.75" customHeight="1">
      <c r="A106" s="59" t="s">
        <v>118</v>
      </c>
      <c r="B106" s="100" t="s">
        <v>119</v>
      </c>
      <c r="C106" s="100"/>
      <c r="D106" s="100"/>
      <c r="E106" s="60">
        <f>E57+E8</f>
        <v>59371137.510000005</v>
      </c>
      <c r="F106" s="60">
        <f>F57+F8</f>
        <v>58889797.32</v>
      </c>
      <c r="G106" s="61">
        <f>F106/E106</f>
        <v>0.9918926904521759</v>
      </c>
      <c r="H106" s="60">
        <f>H57+H8</f>
        <v>13932952.370000001</v>
      </c>
      <c r="I106" s="60">
        <f>I57+I8</f>
        <v>13569060.02</v>
      </c>
      <c r="J106" s="62">
        <f>I106/H106</f>
        <v>0.9738826100645027</v>
      </c>
      <c r="K106" s="60">
        <f>K57+K8</f>
        <v>25446819.7</v>
      </c>
      <c r="L106" s="60">
        <f>L57+L8</f>
        <v>25037459.739999995</v>
      </c>
      <c r="M106" s="61">
        <f>M57+M8</f>
        <v>0.9839131190134536</v>
      </c>
      <c r="N106" s="63"/>
      <c r="O106" s="63"/>
      <c r="P106" s="63"/>
      <c r="Q106" s="63"/>
      <c r="R106" s="63"/>
      <c r="S106" s="63"/>
      <c r="T106" s="63"/>
      <c r="U106" s="63"/>
    </row>
    <row r="107" spans="1:21" s="13" customFormat="1" ht="36" customHeight="1">
      <c r="A107" s="64"/>
      <c r="B107" s="64"/>
      <c r="C107" s="64"/>
      <c r="D107" s="65" t="s">
        <v>120</v>
      </c>
      <c r="E107" s="66">
        <f>E45+E48+E49+E51+E47+E56</f>
        <v>23444630.89</v>
      </c>
      <c r="F107" s="66">
        <f>F45+F48+F49+F51+F47+F56</f>
        <v>23444630.89</v>
      </c>
      <c r="G107" s="67">
        <f>F107/E107</f>
        <v>1</v>
      </c>
      <c r="H107" s="66">
        <f>H45+H49+H51</f>
        <v>89480</v>
      </c>
      <c r="I107" s="66">
        <f>I45+I49+I51</f>
        <v>84723.79000000001</v>
      </c>
      <c r="J107" s="68">
        <f>I107/H107</f>
        <v>0.9468461108627627</v>
      </c>
      <c r="K107" s="69"/>
      <c r="L107" s="69"/>
      <c r="M107" s="69"/>
      <c r="N107" s="70"/>
      <c r="O107" s="70"/>
      <c r="P107" s="70"/>
      <c r="Q107" s="63"/>
      <c r="R107" s="63"/>
      <c r="S107" s="63"/>
      <c r="T107" s="63"/>
      <c r="U107" s="63"/>
    </row>
    <row r="108" spans="1:21" s="13" customFormat="1" ht="21.75" customHeight="1" hidden="1">
      <c r="A108" s="71"/>
      <c r="B108" s="71"/>
      <c r="C108" s="71"/>
      <c r="D108" s="72" t="s">
        <v>116</v>
      </c>
      <c r="E108" s="73"/>
      <c r="F108" s="73"/>
      <c r="G108" s="73"/>
      <c r="H108" s="74"/>
      <c r="I108" s="74"/>
      <c r="J108" s="74"/>
      <c r="K108" s="74"/>
      <c r="L108" s="74"/>
      <c r="M108" s="74"/>
      <c r="N108" s="70"/>
      <c r="O108" s="70"/>
      <c r="P108" s="70"/>
      <c r="Q108" s="63"/>
      <c r="R108" s="63"/>
      <c r="S108" s="63"/>
      <c r="T108" s="63"/>
      <c r="U108" s="63"/>
    </row>
    <row r="109" spans="1:21" s="13" customFormat="1" ht="21.75" customHeight="1" hidden="1">
      <c r="A109" s="71"/>
      <c r="B109" s="71"/>
      <c r="C109" s="71"/>
      <c r="D109" s="72" t="s">
        <v>117</v>
      </c>
      <c r="E109" s="73"/>
      <c r="F109" s="73"/>
      <c r="G109" s="73"/>
      <c r="H109" s="74"/>
      <c r="I109" s="74"/>
      <c r="J109" s="74"/>
      <c r="K109" s="74"/>
      <c r="L109" s="74"/>
      <c r="M109" s="74"/>
      <c r="N109" s="70"/>
      <c r="O109" s="70"/>
      <c r="P109" s="70"/>
      <c r="Q109" s="63"/>
      <c r="R109" s="63"/>
      <c r="S109" s="63"/>
      <c r="T109" s="63"/>
      <c r="U109" s="63"/>
    </row>
    <row r="110" spans="1:21" s="13" customFormat="1" ht="14.25" customHeight="1">
      <c r="A110" s="64"/>
      <c r="B110" s="64"/>
      <c r="C110" s="64"/>
      <c r="D110" s="75" t="s">
        <v>121</v>
      </c>
      <c r="E110" s="76">
        <v>80000</v>
      </c>
      <c r="F110" s="76">
        <v>80000</v>
      </c>
      <c r="G110" s="77">
        <f>F110/E110</f>
        <v>1</v>
      </c>
      <c r="H110" s="76"/>
      <c r="I110" s="76"/>
      <c r="J110" s="68"/>
      <c r="K110" s="76"/>
      <c r="L110" s="76"/>
      <c r="M110" s="76"/>
      <c r="N110" s="63"/>
      <c r="O110" s="63"/>
      <c r="P110" s="63"/>
      <c r="Q110" s="63"/>
      <c r="R110" s="63"/>
      <c r="S110" s="63"/>
      <c r="T110" s="63"/>
      <c r="U110" s="63"/>
    </row>
    <row r="111" spans="1:21" s="13" customFormat="1" ht="35.25" customHeight="1">
      <c r="A111" s="64"/>
      <c r="B111" s="64"/>
      <c r="C111" s="64"/>
      <c r="D111" s="65" t="s">
        <v>122</v>
      </c>
      <c r="E111" s="66">
        <f>E93+E70+E69+E68+E66+E63+E65+E67+E92+E71+E72+E64+E73</f>
        <v>35528654.28</v>
      </c>
      <c r="F111" s="66">
        <f>F93+F70+F69+F68+F66+F63+F65+F67+F92+F71+F72+F64+F73</f>
        <v>35083113.43</v>
      </c>
      <c r="G111" s="67">
        <f>F111/E111</f>
        <v>0.9874596756046905</v>
      </c>
      <c r="H111" s="66">
        <f>H71+H68+H63+H72</f>
        <v>81531.18</v>
      </c>
      <c r="I111" s="66">
        <f>I71+I68+I63+I72</f>
        <v>80768.08</v>
      </c>
      <c r="J111" s="68">
        <f>I111/H111</f>
        <v>0.990640390584314</v>
      </c>
      <c r="K111" s="69"/>
      <c r="L111" s="69"/>
      <c r="M111" s="69"/>
      <c r="N111" s="63"/>
      <c r="O111" s="63"/>
      <c r="P111" s="63"/>
      <c r="Q111" s="63"/>
      <c r="R111" s="63"/>
      <c r="S111" s="63"/>
      <c r="T111" s="63"/>
      <c r="U111" s="63"/>
    </row>
    <row r="112" spans="1:21" s="13" customFormat="1" ht="24.75" customHeight="1" hidden="1">
      <c r="A112" s="71"/>
      <c r="B112" s="71"/>
      <c r="C112" s="71"/>
      <c r="D112" s="72" t="s">
        <v>116</v>
      </c>
      <c r="E112" s="73"/>
      <c r="F112" s="73"/>
      <c r="G112" s="73"/>
      <c r="H112" s="74"/>
      <c r="I112" s="74"/>
      <c r="J112" s="74"/>
      <c r="K112" s="74"/>
      <c r="L112" s="74"/>
      <c r="M112" s="74"/>
      <c r="N112" s="63"/>
      <c r="O112" s="63"/>
      <c r="P112" s="63"/>
      <c r="Q112" s="63"/>
      <c r="R112" s="63"/>
      <c r="S112" s="63"/>
      <c r="T112" s="63"/>
      <c r="U112" s="63"/>
    </row>
    <row r="113" spans="1:21" s="13" customFormat="1" ht="24.75" customHeight="1" hidden="1">
      <c r="A113" s="71"/>
      <c r="B113" s="71"/>
      <c r="C113" s="71"/>
      <c r="D113" s="72" t="s">
        <v>117</v>
      </c>
      <c r="E113" s="73"/>
      <c r="F113" s="73"/>
      <c r="G113" s="73"/>
      <c r="H113" s="74"/>
      <c r="I113" s="74"/>
      <c r="J113" s="74"/>
      <c r="K113" s="74"/>
      <c r="L113" s="74"/>
      <c r="M113" s="74"/>
      <c r="N113" s="63"/>
      <c r="O113" s="63"/>
      <c r="P113" s="63"/>
      <c r="Q113" s="63"/>
      <c r="R113" s="63"/>
      <c r="S113" s="63"/>
      <c r="T113" s="63"/>
      <c r="U113" s="63"/>
    </row>
    <row r="114" spans="1:13" s="13" customFormat="1" ht="33.75" customHeight="1">
      <c r="A114" s="78"/>
      <c r="B114" s="78"/>
      <c r="C114" s="78"/>
      <c r="D114" s="79" t="s">
        <v>123</v>
      </c>
      <c r="E114" s="66">
        <f>E82+E36+E80</f>
        <v>397852.33999999997</v>
      </c>
      <c r="F114" s="66">
        <f>F82+F36+F80</f>
        <v>362053</v>
      </c>
      <c r="G114" s="67">
        <f>F114/E114</f>
        <v>0.9100185259687049</v>
      </c>
      <c r="H114" s="69"/>
      <c r="I114" s="69"/>
      <c r="J114" s="69"/>
      <c r="K114" s="69"/>
      <c r="L114" s="69"/>
      <c r="M114" s="69"/>
    </row>
    <row r="115" spans="1:13" s="13" customFormat="1" ht="33.75" customHeight="1" hidden="1">
      <c r="A115" s="80"/>
      <c r="B115" s="80"/>
      <c r="C115" s="80"/>
      <c r="D115" s="81" t="s">
        <v>116</v>
      </c>
      <c r="E115" s="36"/>
      <c r="F115" s="36"/>
      <c r="G115" s="36"/>
      <c r="H115" s="82"/>
      <c r="I115" s="82"/>
      <c r="J115" s="82"/>
      <c r="K115" s="82"/>
      <c r="L115" s="82"/>
      <c r="M115" s="82"/>
    </row>
    <row r="116" spans="1:13" s="13" customFormat="1" ht="33.75" customHeight="1" hidden="1">
      <c r="A116" s="80"/>
      <c r="B116" s="80"/>
      <c r="C116" s="80"/>
      <c r="D116" s="81" t="s">
        <v>117</v>
      </c>
      <c r="E116" s="36"/>
      <c r="F116" s="36"/>
      <c r="G116" s="36"/>
      <c r="H116" s="82"/>
      <c r="I116" s="82"/>
      <c r="J116" s="82"/>
      <c r="K116" s="82"/>
      <c r="L116" s="82"/>
      <c r="M116" s="82"/>
    </row>
    <row r="117" spans="1:13" s="13" customFormat="1" ht="33.75" customHeight="1">
      <c r="A117" s="101" t="s">
        <v>124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s="13" customFormat="1" ht="33.75" customHeight="1">
      <c r="A118" s="102" t="s">
        <v>125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s="13" customFormat="1" ht="33.75" customHeight="1">
      <c r="A119" s="102" t="s">
        <v>126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s="13" customFormat="1" ht="33.75" customHeight="1">
      <c r="A120" s="102" t="s">
        <v>127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s="13" customFormat="1" ht="246" customHeight="1">
      <c r="A121" s="103" t="s">
        <v>128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1:13" s="13" customFormat="1" ht="33.7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1:13" s="13" customFormat="1" ht="33.7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5:14" ht="15" customHeight="1">
      <c r="E124" s="53"/>
      <c r="F124" s="53"/>
      <c r="G124" s="53"/>
      <c r="N124" s="53"/>
    </row>
    <row r="125" spans="5:14" ht="15" customHeight="1">
      <c r="E125" s="53"/>
      <c r="F125" s="53"/>
      <c r="G125" s="53"/>
      <c r="N125" s="53"/>
    </row>
    <row r="129" ht="12.75" customHeight="1">
      <c r="D129" s="83"/>
    </row>
    <row r="130" spans="4:10" ht="12.75" customHeight="1">
      <c r="D130" s="84"/>
      <c r="E130" s="85"/>
      <c r="F130" s="85"/>
      <c r="G130" s="85"/>
      <c r="H130" s="85"/>
      <c r="I130" s="85"/>
      <c r="J130" s="85"/>
    </row>
    <row r="131" spans="4:10" ht="12.75" customHeight="1">
      <c r="D131" s="84"/>
      <c r="E131" s="85"/>
      <c r="F131" s="85"/>
      <c r="G131" s="85"/>
      <c r="H131" s="85"/>
      <c r="I131" s="85"/>
      <c r="J131" s="85"/>
    </row>
    <row r="132" spans="4:10" ht="12.75" customHeight="1">
      <c r="D132" s="84"/>
      <c r="E132" s="85"/>
      <c r="F132" s="85"/>
      <c r="G132" s="85"/>
      <c r="H132" s="85"/>
      <c r="I132" s="85"/>
      <c r="J132" s="85"/>
    </row>
  </sheetData>
  <sheetProtection selectLockedCells="1" selectUnlockedCells="1"/>
  <mergeCells count="34">
    <mergeCell ref="A120:M120"/>
    <mergeCell ref="A121:M121"/>
    <mergeCell ref="A122:M122"/>
    <mergeCell ref="A123:M123"/>
    <mergeCell ref="B103:B105"/>
    <mergeCell ref="C103:C105"/>
    <mergeCell ref="B106:D106"/>
    <mergeCell ref="A117:M117"/>
    <mergeCell ref="A118:M118"/>
    <mergeCell ref="A119:M119"/>
    <mergeCell ref="A51:A55"/>
    <mergeCell ref="B51:B52"/>
    <mergeCell ref="C51:C52"/>
    <mergeCell ref="D51:D52"/>
    <mergeCell ref="B57:D57"/>
    <mergeCell ref="A82:A90"/>
    <mergeCell ref="B83:B90"/>
    <mergeCell ref="C83:C90"/>
    <mergeCell ref="B8:D8"/>
    <mergeCell ref="A36:A37"/>
    <mergeCell ref="B36:B37"/>
    <mergeCell ref="C36:C37"/>
    <mergeCell ref="A45:A46"/>
    <mergeCell ref="B45:B46"/>
    <mergeCell ref="C45:C46"/>
    <mergeCell ref="E1:M1"/>
    <mergeCell ref="E2:K2"/>
    <mergeCell ref="A3:M3"/>
    <mergeCell ref="H4:K4"/>
    <mergeCell ref="A5:A6"/>
    <mergeCell ref="B5:B6"/>
    <mergeCell ref="C5:C6"/>
    <mergeCell ref="D5:D6"/>
    <mergeCell ref="E5:M5"/>
  </mergeCells>
  <printOptions horizontalCentered="1"/>
  <pageMargins left="0.7875" right="0.7875" top="1.3777777777777778" bottom="0.6784722222222221" header="0.5118055555555555" footer="0.5118055555555555"/>
  <pageSetup firstPageNumber="92" useFirstPageNumber="1" horizontalDpi="300" verticalDpi="300" orientation="landscape" paperSize="9" scale="51" r:id="rId1"/>
  <headerFooter alignWithMargins="0">
    <oddFooter>&amp;L&amp;"Times New Roman,Normalny"&amp;12&amp;P</oddFooter>
  </headerFooter>
  <rowBreaks count="5" manualBreakCount="5">
    <brk id="23" max="255" man="1"/>
    <brk id="43" max="255" man="1"/>
    <brk id="61" max="255" man="1"/>
    <brk id="79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2018-04-05T09:00:10Z</dcterms:created>
  <dcterms:modified xsi:type="dcterms:W3CDTF">2018-04-05T09:00:10Z</dcterms:modified>
  <cp:category/>
  <cp:version/>
  <cp:contentType/>
  <cp:contentStatus/>
</cp:coreProperties>
</file>